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pdc\data\massimo.caldon\Desktop\"/>
    </mc:Choice>
  </mc:AlternateContent>
  <bookViews>
    <workbookView xWindow="0" yWindow="0" windowWidth="19200" windowHeight="11595"/>
  </bookViews>
  <sheets>
    <sheet name="L_RIT" sheetId="1" r:id="rId1"/>
  </sheets>
  <calcPr calcId="0"/>
</workbook>
</file>

<file path=xl/calcChain.xml><?xml version="1.0" encoding="utf-8"?>
<calcChain xmlns="http://schemas.openxmlformats.org/spreadsheetml/2006/main">
  <c r="D5" i="1" l="1"/>
  <c r="D6" i="1"/>
  <c r="D7" i="1"/>
  <c r="D16" i="1"/>
  <c r="D35" i="1"/>
  <c r="D36" i="1"/>
  <c r="D37" i="1"/>
  <c r="D38" i="1"/>
  <c r="D39" i="1"/>
  <c r="D51" i="1"/>
  <c r="D52" i="1"/>
  <c r="D53" i="1"/>
  <c r="D58" i="1"/>
  <c r="D59" i="1"/>
  <c r="D61" i="1"/>
  <c r="D71" i="1"/>
  <c r="D72" i="1"/>
  <c r="D128" i="1"/>
  <c r="D129" i="1"/>
  <c r="D130" i="1"/>
  <c r="D137" i="1"/>
  <c r="D138" i="1"/>
  <c r="D139" i="1"/>
  <c r="D140" i="1"/>
  <c r="D141" i="1"/>
  <c r="D148" i="1"/>
  <c r="D149" i="1"/>
  <c r="D151" i="1"/>
  <c r="D152" i="1"/>
  <c r="D155" i="1"/>
  <c r="D160" i="1"/>
  <c r="D161" i="1"/>
  <c r="D165" i="1"/>
  <c r="D166" i="1"/>
  <c r="D188" i="1"/>
  <c r="D189" i="1"/>
  <c r="D202" i="1"/>
  <c r="D203" i="1"/>
  <c r="D204" i="1"/>
  <c r="D205" i="1"/>
  <c r="D206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56" i="1"/>
  <c r="D257" i="1"/>
  <c r="D258" i="1"/>
  <c r="D259" i="1"/>
  <c r="D260" i="1"/>
  <c r="D261" i="1"/>
  <c r="D262" i="1"/>
  <c r="D263" i="1"/>
  <c r="D264" i="1"/>
  <c r="D265" i="1"/>
  <c r="D300" i="1"/>
  <c r="D301" i="1"/>
  <c r="D302" i="1"/>
  <c r="D303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12" i="1"/>
  <c r="D443" i="1"/>
  <c r="D444" i="1"/>
  <c r="D445" i="1"/>
  <c r="D446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6" i="1"/>
  <c r="D617" i="1"/>
  <c r="D618" i="1"/>
  <c r="D619" i="1"/>
  <c r="D620" i="1"/>
  <c r="D62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709" i="1"/>
  <c r="D710" i="1"/>
  <c r="D711" i="1"/>
  <c r="D712" i="1"/>
  <c r="D713" i="1"/>
  <c r="D714" i="1"/>
  <c r="D729" i="1"/>
  <c r="D736" i="1"/>
  <c r="D737" i="1"/>
  <c r="D738" i="1"/>
  <c r="D739" i="1"/>
  <c r="D740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27" i="1"/>
  <c r="D829" i="1"/>
  <c r="D862" i="1"/>
  <c r="D863" i="1"/>
  <c r="D864" i="1"/>
  <c r="D868" i="1"/>
  <c r="D871" i="1"/>
  <c r="D872" i="1"/>
  <c r="D874" i="1"/>
  <c r="D878" i="1"/>
  <c r="D879" i="1"/>
  <c r="D880" i="1"/>
  <c r="D889" i="1"/>
  <c r="D892" i="1"/>
  <c r="D893" i="1"/>
  <c r="D894" i="1"/>
  <c r="D895" i="1"/>
  <c r="D896" i="1"/>
  <c r="D897" i="1"/>
  <c r="D903" i="1"/>
  <c r="D904" i="1"/>
  <c r="D905" i="1"/>
  <c r="D906" i="1"/>
  <c r="D907" i="1"/>
  <c r="D910" i="1"/>
  <c r="D911" i="1"/>
  <c r="D912" i="1"/>
  <c r="D913" i="1"/>
  <c r="D914" i="1"/>
  <c r="D915" i="1"/>
  <c r="D916" i="1"/>
  <c r="D917" i="1"/>
  <c r="D918" i="1"/>
  <c r="D947" i="1"/>
  <c r="D948" i="1"/>
  <c r="D949" i="1"/>
  <c r="D950" i="1"/>
  <c r="D953" i="1"/>
  <c r="D954" i="1"/>
  <c r="D955" i="1"/>
  <c r="D956" i="1"/>
  <c r="D957" i="1"/>
  <c r="D960" i="1"/>
  <c r="D962" i="1"/>
  <c r="D970" i="1"/>
  <c r="D977" i="1"/>
  <c r="D987" i="1"/>
  <c r="D989" i="1"/>
  <c r="D997" i="1"/>
  <c r="D998" i="1"/>
  <c r="D999" i="1"/>
  <c r="D1000" i="1"/>
  <c r="D1002" i="1"/>
  <c r="D1003" i="1"/>
  <c r="D1004" i="1"/>
  <c r="D1006" i="1"/>
  <c r="D1007" i="1"/>
  <c r="D1015" i="1"/>
  <c r="D1016" i="1"/>
  <c r="D1017" i="1"/>
  <c r="D1018" i="1"/>
  <c r="D1019" i="1"/>
  <c r="D1020" i="1"/>
  <c r="D1021" i="1"/>
  <c r="D1022" i="1"/>
  <c r="D1028" i="1"/>
  <c r="D1029" i="1"/>
  <c r="D1031" i="1"/>
  <c r="D1032" i="1"/>
  <c r="D1037" i="1"/>
  <c r="D1039" i="1"/>
  <c r="D1040" i="1"/>
  <c r="D1045" i="1"/>
  <c r="D1046" i="1"/>
  <c r="D1049" i="1"/>
  <c r="D1050" i="1"/>
  <c r="D1051" i="1"/>
  <c r="D1052" i="1"/>
  <c r="D1053" i="1"/>
  <c r="D1054" i="1"/>
  <c r="D1055" i="1"/>
  <c r="D1060" i="1"/>
  <c r="D1063" i="1"/>
  <c r="D1082" i="1"/>
  <c r="D1083" i="1"/>
  <c r="D1094" i="1"/>
  <c r="D1112" i="1"/>
  <c r="D1113" i="1"/>
  <c r="D1114" i="1"/>
  <c r="D1115" i="1"/>
  <c r="D1116" i="1"/>
  <c r="D1117" i="1"/>
  <c r="D1122" i="1"/>
</calcChain>
</file>

<file path=xl/sharedStrings.xml><?xml version="1.0" encoding="utf-8"?>
<sst xmlns="http://schemas.openxmlformats.org/spreadsheetml/2006/main" count="4019" uniqueCount="582">
  <si>
    <t>Beneficiario</t>
  </si>
  <si>
    <t>Mandato</t>
  </si>
  <si>
    <t>Data mandato</t>
  </si>
  <si>
    <t>Num. fattura</t>
  </si>
  <si>
    <t>Data fattura</t>
  </si>
  <si>
    <t>Nr.bolletta .</t>
  </si>
  <si>
    <t>Data pagamento</t>
  </si>
  <si>
    <t>Data scadenza</t>
  </si>
  <si>
    <t>Data rif.(#)</t>
  </si>
  <si>
    <t>Importo</t>
  </si>
  <si>
    <t>Iva split</t>
  </si>
  <si>
    <t>Netto</t>
  </si>
  <si>
    <t>GG diff.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</si>
  <si>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</si>
  <si>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 DEL VENETO</t>
  </si>
  <si>
    <t>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</si>
  <si>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</si>
  <si>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GRAFICHE E. GASPARI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</si>
  <si>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</si>
  <si>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DITTA MENIN &amp; BUSATTO SNC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</si>
  <si>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</si>
  <si>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A.I.Q. DI ZIGIOTTO E ASSOCIATI</t>
  </si>
  <si>
    <t>5/PA</t>
  </si>
  <si>
    <t>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</si>
  <si>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</si>
  <si>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HALLEY VENETO SRL</t>
  </si>
  <si>
    <t>1/170075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</si>
  <si>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</si>
  <si>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ACCATRE SRL</t>
  </si>
  <si>
    <t>1/170443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</si>
  <si>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</si>
  <si>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CODESS SOCIALE SOC. COOPERATIVA SOCIALE ONLUS</t>
  </si>
  <si>
    <t>1780/PA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</si>
  <si>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</si>
  <si>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1781/PA</t>
  </si>
  <si>
    <t>STUDIO FRACASSO SRL</t>
  </si>
  <si>
    <t>FATTPA 71_17</t>
  </si>
  <si>
    <t>SERENISSIMA RISTORAZIONE SPA</t>
  </si>
  <si>
    <t>03511/4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</si>
  <si>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</si>
  <si>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AZIENDA CONSORZIO MIRESE SpA GRUPPO VERITAS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</si>
  <si>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</si>
  <si>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ASSOCIAZIONE DI PROMOZIONE SOCIALE `IL PORTICO` ONLUS</t>
  </si>
  <si>
    <t>FATTPA 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</si>
  <si>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</si>
  <si>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VIALE VALTER</t>
  </si>
  <si>
    <t>ENTE NAZIONALE PROTEZIONE ANIMALI</t>
  </si>
  <si>
    <t>383/PA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</si>
  <si>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</si>
  <si>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VODAFONE ITALIA SPA</t>
  </si>
  <si>
    <t>AH17211253</t>
  </si>
  <si>
    <t>S.EMME DI SARTO MIRKO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</si>
  <si>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</si>
  <si>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NALON SRL</t>
  </si>
  <si>
    <t>27/PA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</si>
  <si>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</si>
  <si>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29/PA</t>
  </si>
  <si>
    <t>INTESA SANPAOLO S.p.A.</t>
  </si>
  <si>
    <t>V6000190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</si>
  <si>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</si>
  <si>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ABACO SPA</t>
  </si>
  <si>
    <t>AZIENDA TERRITORIALE PER L'EDILIZIA 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</si>
  <si>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</si>
  <si>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2220/PA</t>
  </si>
  <si>
    <t>GLOBAL POWER SPA</t>
  </si>
  <si>
    <t>V0/13774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</si>
  <si>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</si>
  <si>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V0/13775</t>
  </si>
  <si>
    <t>V0/13773</t>
  </si>
  <si>
    <t>V0/13776</t>
  </si>
  <si>
    <t>FITS TEKNO IMPIANTI SRL</t>
  </si>
  <si>
    <t>9PA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</si>
  <si>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</si>
  <si>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MAGGIOLI SPA</t>
  </si>
  <si>
    <t>ANAS - ENTE NAZIONALE PER LE STRADE SPA</t>
  </si>
  <si>
    <t>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</si>
  <si>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</si>
  <si>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35/PA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</si>
  <si>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</si>
  <si>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F.LLI COLLESEI SRL DI COLLESEI G. &amp; C.</t>
  </si>
  <si>
    <t>122/2017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</si>
  <si>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</si>
  <si>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37/PA</t>
  </si>
  <si>
    <t>COOPERATIVA SOCIALE SERVIZI ASSOCIATI SRL</t>
  </si>
  <si>
    <t>D-347</t>
  </si>
  <si>
    <t>D-134</t>
  </si>
  <si>
    <t>D-348</t>
  </si>
  <si>
    <t>V6/21974</t>
  </si>
  <si>
    <t>V0/973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</si>
  <si>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</si>
  <si>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V6/21975</t>
  </si>
  <si>
    <t>V6/21979</t>
  </si>
  <si>
    <t>V6/21980</t>
  </si>
  <si>
    <t>V6/21982</t>
  </si>
  <si>
    <t>V6/21973</t>
  </si>
  <si>
    <t>V6/21978</t>
  </si>
  <si>
    <t>V6/21983</t>
  </si>
  <si>
    <t>V6/21976</t>
  </si>
  <si>
    <t>V6/21981</t>
  </si>
  <si>
    <t>DELFINO &amp; PARTNERS SRL</t>
  </si>
  <si>
    <t>388/PA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</si>
  <si>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</si>
  <si>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CLODIA ELEVATORI SRL</t>
  </si>
  <si>
    <t>04/17/PA</t>
  </si>
  <si>
    <t>06/17/PA</t>
  </si>
  <si>
    <t>05/17/PA</t>
  </si>
  <si>
    <t>07/17/PA</t>
  </si>
  <si>
    <t>V6/7532</t>
  </si>
  <si>
    <t>04091/4</t>
  </si>
  <si>
    <t>V6/32753</t>
  </si>
  <si>
    <t>12/PA</t>
  </si>
  <si>
    <t>13/PA</t>
  </si>
  <si>
    <t>CORNIO BASSO SRL</t>
  </si>
  <si>
    <t>FATTPA 2_17</t>
  </si>
  <si>
    <t>V0/972</t>
  </si>
  <si>
    <t>V0/975</t>
  </si>
  <si>
    <t>V0/970</t>
  </si>
  <si>
    <t>V0/971</t>
  </si>
  <si>
    <t>V0/974</t>
  </si>
  <si>
    <t>ZB COSTRUZIONI SAS DI ZECCHIN M. &amp; C.</t>
  </si>
  <si>
    <t>7/PA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</si>
  <si>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</si>
  <si>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3_17</t>
  </si>
  <si>
    <t>COOPERATIVA SOCIALE PRIMAVERA - ONLUS</t>
  </si>
  <si>
    <t>18/PA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</si>
  <si>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</si>
  <si>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LAVORO IN SICUREZZA SRL</t>
  </si>
  <si>
    <t>40/PA</t>
  </si>
  <si>
    <t>1629/PA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</si>
  <si>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</si>
  <si>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ENERGIA VENETO</t>
  </si>
  <si>
    <t>V1-550-2017</t>
  </si>
  <si>
    <t>02145/4</t>
  </si>
  <si>
    <t>02146/4</t>
  </si>
  <si>
    <t>871/PA</t>
  </si>
  <si>
    <t>COMPUTERLAND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</si>
  <si>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</si>
  <si>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PROGETTO INSIEME SOCIETA' COOPERATIVA SOCIALE</t>
  </si>
  <si>
    <t>50PA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</si>
  <si>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</si>
  <si>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LEGALE AVVOCATO DOMENICO CHINELLO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</si>
  <si>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</si>
  <si>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V6000112</t>
  </si>
  <si>
    <t>1042/PA</t>
  </si>
  <si>
    <t>ANCITEL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</si>
  <si>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</si>
  <si>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GRIGOLETTO SAS DI GRIGOLETTO L. &amp; 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</si>
  <si>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</si>
  <si>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STUDIO TECNICO GASTALDI CIBOLA &amp;amp, ASSOCIATI</t>
  </si>
  <si>
    <t>79/2017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</si>
  <si>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</si>
  <si>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SOCIETA' SERVIZI SOCIO CULTURALI COOP. SOC. ONLUS</t>
  </si>
  <si>
    <t>381 PAS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</si>
  <si>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</si>
  <si>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1/170403</t>
  </si>
  <si>
    <t>2017-158-V0</t>
  </si>
  <si>
    <t>V0/98928</t>
  </si>
  <si>
    <t>V0/98930</t>
  </si>
  <si>
    <t>V0/98929</t>
  </si>
  <si>
    <t>D-232</t>
  </si>
  <si>
    <t>05843/4</t>
  </si>
  <si>
    <t>05844/4</t>
  </si>
  <si>
    <t>05842/4</t>
  </si>
  <si>
    <t>18PA</t>
  </si>
  <si>
    <t>02810/4</t>
  </si>
  <si>
    <t>02811/4</t>
  </si>
  <si>
    <t>1265/PA</t>
  </si>
  <si>
    <t>V6000287</t>
  </si>
  <si>
    <t>4/PA</t>
  </si>
  <si>
    <t>V6/39984</t>
  </si>
  <si>
    <t>V6/39982</t>
  </si>
  <si>
    <t>V6/39987</t>
  </si>
  <si>
    <t>V6/39979</t>
  </si>
  <si>
    <t>V6/39977</t>
  </si>
  <si>
    <t>V6/39983</t>
  </si>
  <si>
    <t>V6/39980</t>
  </si>
  <si>
    <t>V6/39986</t>
  </si>
  <si>
    <t>V6/39985</t>
  </si>
  <si>
    <t>CENTRO DI SERVIZI ALLA PERSONA `L. MARIUTTO`</t>
  </si>
  <si>
    <t>F.00021/V3</t>
  </si>
  <si>
    <t>BETTIN NARCISO SRL</t>
  </si>
  <si>
    <t>169 PAS</t>
  </si>
  <si>
    <t>170 PAS</t>
  </si>
  <si>
    <t>148 PAS</t>
  </si>
  <si>
    <t>2215/PA</t>
  </si>
  <si>
    <t>34PA</t>
  </si>
  <si>
    <t>V0/123950</t>
  </si>
  <si>
    <t>V0/123951</t>
  </si>
  <si>
    <t>V0/123949</t>
  </si>
  <si>
    <t>V6000404</t>
  </si>
  <si>
    <t>V1/1005</t>
  </si>
  <si>
    <t>V6000528</t>
  </si>
  <si>
    <t>V6/3678</t>
  </si>
  <si>
    <t>V0/111463</t>
  </si>
  <si>
    <t>V0/111464</t>
  </si>
  <si>
    <t>V6/3679</t>
  </si>
  <si>
    <t>V6/3687</t>
  </si>
  <si>
    <t>V6/3681</t>
  </si>
  <si>
    <t>V6/3680</t>
  </si>
  <si>
    <t>V6/3683</t>
  </si>
  <si>
    <t>V6/3684</t>
  </si>
  <si>
    <t>V6/3686</t>
  </si>
  <si>
    <t>V0/111462</t>
  </si>
  <si>
    <t>V6/3682</t>
  </si>
  <si>
    <t>V6/3677</t>
  </si>
  <si>
    <t>V6/3685</t>
  </si>
  <si>
    <t>05158/4</t>
  </si>
  <si>
    <t>05157/4</t>
  </si>
  <si>
    <t>AH09861818</t>
  </si>
  <si>
    <t>FERRAMENTA BOLDRIN CLAUDIO</t>
  </si>
  <si>
    <t>1/PA</t>
  </si>
  <si>
    <t>V6/11291</t>
  </si>
  <si>
    <t>V6/32750</t>
  </si>
  <si>
    <t>V6/11300</t>
  </si>
  <si>
    <t>V6/32754</t>
  </si>
  <si>
    <t>V6/11290</t>
  </si>
  <si>
    <t>V6/36370</t>
  </si>
  <si>
    <t>V6/36367</t>
  </si>
  <si>
    <t>V6/36372</t>
  </si>
  <si>
    <t>V6/11294</t>
  </si>
  <si>
    <t>V6/36368</t>
  </si>
  <si>
    <t>V6/36364</t>
  </si>
  <si>
    <t>V6/36365</t>
  </si>
  <si>
    <t>V6/11298</t>
  </si>
  <si>
    <t>V6/36371</t>
  </si>
  <si>
    <t>V6/11299</t>
  </si>
  <si>
    <t>V6/32751</t>
  </si>
  <si>
    <t>V6/32758</t>
  </si>
  <si>
    <t>V6/36374</t>
  </si>
  <si>
    <t>V6/32752</t>
  </si>
  <si>
    <t>V6/11295</t>
  </si>
  <si>
    <t>V6/36366</t>
  </si>
  <si>
    <t>V6/32756</t>
  </si>
  <si>
    <t>V6/11296</t>
  </si>
  <si>
    <t>V6/32748</t>
  </si>
  <si>
    <t>V6/11293</t>
  </si>
  <si>
    <t>V6/11292</t>
  </si>
  <si>
    <t>V6/11297</t>
  </si>
  <si>
    <t>V6/32755</t>
  </si>
  <si>
    <t>V6/32757</t>
  </si>
  <si>
    <t>V6/36373</t>
  </si>
  <si>
    <t>MULTICOPY SRL</t>
  </si>
  <si>
    <t>90/PA</t>
  </si>
  <si>
    <t>AH13529989</t>
  </si>
  <si>
    <t>D-404</t>
  </si>
  <si>
    <t>D-187</t>
  </si>
  <si>
    <t>COS.MEN DI MENEGHIN AURELIO</t>
  </si>
  <si>
    <t>FATTPA 4_17</t>
  </si>
  <si>
    <t>FATTPA 5_17</t>
  </si>
  <si>
    <t>06267/4</t>
  </si>
  <si>
    <t>03510/4</t>
  </si>
  <si>
    <t>06266/4</t>
  </si>
  <si>
    <t>MyO SPA</t>
  </si>
  <si>
    <t>2040/170013740</t>
  </si>
  <si>
    <t>485 PAS</t>
  </si>
  <si>
    <t>484 PAS</t>
  </si>
  <si>
    <t>SIMET SRL</t>
  </si>
  <si>
    <t>447P17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</si>
  <si>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</si>
  <si>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283P17</t>
  </si>
  <si>
    <t>BRENTA SYSTEM SRL</t>
  </si>
  <si>
    <t>D-14</t>
  </si>
  <si>
    <t>D-64</t>
  </si>
  <si>
    <t>V0/50935</t>
  </si>
  <si>
    <t>V6/7528</t>
  </si>
  <si>
    <t>V6/7525</t>
  </si>
  <si>
    <t>V6/7526</t>
  </si>
  <si>
    <t>V6/7531</t>
  </si>
  <si>
    <t>V0/50934</t>
  </si>
  <si>
    <t>V6/7527</t>
  </si>
  <si>
    <t>V6/7533</t>
  </si>
  <si>
    <t>V6/7529</t>
  </si>
  <si>
    <t>V6/7530</t>
  </si>
  <si>
    <t>V6/7523</t>
  </si>
  <si>
    <t>V0/50933</t>
  </si>
  <si>
    <t>V6/7524</t>
  </si>
  <si>
    <t>04092/4</t>
  </si>
  <si>
    <t>01172/4</t>
  </si>
  <si>
    <t>01171/4</t>
  </si>
  <si>
    <t>04090/4</t>
  </si>
  <si>
    <t>S.AR.HA. COOPERATIVA SOCIALE ONLUS</t>
  </si>
  <si>
    <t>53T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</si>
  <si>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</si>
  <si>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LUXMAN IMPIANTI DI GOBBI E C. SNC</t>
  </si>
  <si>
    <t>FONDERIE F.LLI VELO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</si>
  <si>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</si>
  <si>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CI.GI.ESSE.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</si>
  <si>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</si>
  <si>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703/PA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</si>
  <si>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</si>
  <si>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V1-1172-2017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</si>
  <si>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</si>
  <si>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V1-754-2017</t>
  </si>
  <si>
    <t>1/170888</t>
  </si>
  <si>
    <t>AH20925083</t>
  </si>
  <si>
    <t>D-90</t>
  </si>
  <si>
    <t>1/170550</t>
  </si>
  <si>
    <t>V6/43671</t>
  </si>
  <si>
    <t>V6/25548</t>
  </si>
  <si>
    <t>V6/43668</t>
  </si>
  <si>
    <t>V6/25547</t>
  </si>
  <si>
    <t>V6/43673</t>
  </si>
  <si>
    <t>V6/25546</t>
  </si>
  <si>
    <t>V6/43670</t>
  </si>
  <si>
    <t>V6/43678</t>
  </si>
  <si>
    <t>V6/25554</t>
  </si>
  <si>
    <t>V6/25545</t>
  </si>
  <si>
    <t>V6/25553</t>
  </si>
  <si>
    <t>V6/43676</t>
  </si>
  <si>
    <t>V6/25552</t>
  </si>
  <si>
    <t>V6/43675</t>
  </si>
  <si>
    <t>V6/25551</t>
  </si>
  <si>
    <t>V6/43674</t>
  </si>
  <si>
    <t>V6/43669</t>
  </si>
  <si>
    <t>V6/25544</t>
  </si>
  <si>
    <t>V6/43677</t>
  </si>
  <si>
    <t>V6/25550</t>
  </si>
  <si>
    <t>V6/43672</t>
  </si>
  <si>
    <t>V6/25549</t>
  </si>
  <si>
    <t>F.00028/V3</t>
  </si>
  <si>
    <t>F.00006/V3</t>
  </si>
  <si>
    <t>04593/4</t>
  </si>
  <si>
    <t>04594/4</t>
  </si>
  <si>
    <t>FATTPA 8_17</t>
  </si>
  <si>
    <t>2987/PA</t>
  </si>
  <si>
    <t>2975/PA</t>
  </si>
  <si>
    <t>ISTITUTO COSTANTE GRIS</t>
  </si>
  <si>
    <t>34/PA</t>
  </si>
  <si>
    <t>V6/18386</t>
  </si>
  <si>
    <t>V6/18385</t>
  </si>
  <si>
    <t>V6/18387</t>
  </si>
  <si>
    <t>V6/18390</t>
  </si>
  <si>
    <t>V6/18382</t>
  </si>
  <si>
    <t>V6/18389</t>
  </si>
  <si>
    <t>V6/18388</t>
  </si>
  <si>
    <t>V6/18384</t>
  </si>
  <si>
    <t>V6/18392</t>
  </si>
  <si>
    <t>V6/18391</t>
  </si>
  <si>
    <t>V6/18383</t>
  </si>
  <si>
    <t>11/PA</t>
  </si>
  <si>
    <t>3870/PA</t>
  </si>
  <si>
    <t>3455/PA</t>
  </si>
  <si>
    <t>3465/PA</t>
  </si>
  <si>
    <t>45/PA</t>
  </si>
  <si>
    <t>AH06241034</t>
  </si>
  <si>
    <t>DUEFFE SPORT SAS</t>
  </si>
  <si>
    <t>773 PAS</t>
  </si>
  <si>
    <t>729 PAS</t>
  </si>
  <si>
    <t>728 PAS</t>
  </si>
  <si>
    <t>68/PA</t>
  </si>
  <si>
    <t>135P17</t>
  </si>
  <si>
    <t>PRESS DI ABBONAMENTI SPA</t>
  </si>
  <si>
    <t>AB-FT-170002134</t>
  </si>
  <si>
    <t>VERIFICHE INDUSTRIALI SRL</t>
  </si>
  <si>
    <t>FATTPA 19_17</t>
  </si>
  <si>
    <t>STUDIO IDEA 82 SAS</t>
  </si>
  <si>
    <t>V200061/17</t>
  </si>
  <si>
    <t>IMPRESE FUNEBRI CAV. LUCARDA SRL</t>
  </si>
  <si>
    <t>FPA-2017-02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</si>
  <si>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</si>
  <si>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CONSORZIO ISOLA ARIANO SERVIZI SOCIALI</t>
  </si>
  <si>
    <t>95/1/1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</si>
  <si>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</si>
  <si>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S.E.P.E.L. SAS</t>
  </si>
  <si>
    <t>2/637</t>
  </si>
  <si>
    <t>V0/86599</t>
  </si>
  <si>
    <t>V6/14829</t>
  </si>
  <si>
    <t>V6/14822</t>
  </si>
  <si>
    <t>V6/29159</t>
  </si>
  <si>
    <t>V6/14830</t>
  </si>
  <si>
    <t>V6/29160</t>
  </si>
  <si>
    <t>V6/14827</t>
  </si>
  <si>
    <t>V6/14823</t>
  </si>
  <si>
    <t>V6/14824</t>
  </si>
  <si>
    <t>V6/29165</t>
  </si>
  <si>
    <t>V6/14821</t>
  </si>
  <si>
    <t>V0/26104</t>
  </si>
  <si>
    <t>V6/29155</t>
  </si>
  <si>
    <t>V0/26103</t>
  </si>
  <si>
    <t>V0/86598</t>
  </si>
  <si>
    <t>V0/26102</t>
  </si>
  <si>
    <t>V0/86597</t>
  </si>
  <si>
    <t>V6/29157</t>
  </si>
  <si>
    <t>V6/14825</t>
  </si>
  <si>
    <t>V6/29156</t>
  </si>
  <si>
    <t>V6/29161</t>
  </si>
  <si>
    <t>V6/14831</t>
  </si>
  <si>
    <t>V6/14828</t>
  </si>
  <si>
    <t>V6/29164</t>
  </si>
  <si>
    <t>V6/14826</t>
  </si>
  <si>
    <t>V6/29163</t>
  </si>
  <si>
    <t>V6/29162</t>
  </si>
  <si>
    <t>V6/29158</t>
  </si>
  <si>
    <t>3903/PA</t>
  </si>
  <si>
    <t>V0/62797</t>
  </si>
  <si>
    <t>V0/62795</t>
  </si>
  <si>
    <t>V0/62796</t>
  </si>
  <si>
    <t>FATTPA 48_17</t>
  </si>
  <si>
    <t>F.00043/V3</t>
  </si>
  <si>
    <t>2040/170010475</t>
  </si>
  <si>
    <t>2040/170010476</t>
  </si>
  <si>
    <t>118/PA</t>
  </si>
  <si>
    <t>117/PA</t>
  </si>
  <si>
    <t>77/PA</t>
  </si>
  <si>
    <t>RESIDENZA `RIVIERA DEL BRENTA` CENTRO SOGGIORNO ANZIANI</t>
  </si>
  <si>
    <t>31/B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</si>
  <si>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</si>
  <si>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ENI SPA</t>
  </si>
  <si>
    <t>72PA</t>
  </si>
  <si>
    <t>SICIT BITUMI SRL</t>
  </si>
  <si>
    <t>000168-0C7</t>
  </si>
  <si>
    <t>5031/PA</t>
  </si>
  <si>
    <t>5036/PA</t>
  </si>
  <si>
    <t>FATTPA 6_17</t>
  </si>
  <si>
    <t>FATTPA 7_17</t>
  </si>
  <si>
    <t>FATTPA 11_17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</si>
  <si>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</si>
  <si>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COOPERATIVA G. OLIVOTTI SCS ONLUS</t>
  </si>
  <si>
    <t>033/E</t>
  </si>
  <si>
    <t>ARTUSI GARDEN SNC</t>
  </si>
  <si>
    <t>3/PA</t>
  </si>
  <si>
    <t>VERITAS SPA</t>
  </si>
  <si>
    <t>BOXXAPPS SRL</t>
  </si>
  <si>
    <t>1/170243</t>
  </si>
  <si>
    <t>ORTOPEDIA E SANITARIA DOLESE SAS</t>
  </si>
  <si>
    <t>190/FE</t>
  </si>
  <si>
    <t>193/FE</t>
  </si>
  <si>
    <t>192/FE</t>
  </si>
  <si>
    <t>191/FE</t>
  </si>
  <si>
    <t>156/PA</t>
  </si>
  <si>
    <t>5876/PA</t>
  </si>
  <si>
    <t>5885/PA</t>
  </si>
  <si>
    <t>V0/38156</t>
  </si>
  <si>
    <t>V0/74632</t>
  </si>
  <si>
    <t>V0/38154</t>
  </si>
  <si>
    <t>V0/74631</t>
  </si>
  <si>
    <t>V0/74630</t>
  </si>
  <si>
    <t>V0/38155</t>
  </si>
  <si>
    <t>OLIVETTI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</si>
  <si>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</si>
  <si>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3T</t>
  </si>
  <si>
    <t>043/E</t>
  </si>
  <si>
    <t>MOBILFERRO SRL</t>
  </si>
  <si>
    <t>1/170023</t>
  </si>
  <si>
    <t>TOPFILM SRL</t>
  </si>
  <si>
    <t>7/00</t>
  </si>
  <si>
    <t>D-416</t>
  </si>
  <si>
    <t>8PA</t>
  </si>
  <si>
    <t>2/PA</t>
  </si>
  <si>
    <t>7PA</t>
  </si>
  <si>
    <t>189/PA</t>
  </si>
  <si>
    <t>41/B</t>
  </si>
  <si>
    <t>E.C.I. ELETTRONICA SRL</t>
  </si>
  <si>
    <t>17053/PA</t>
  </si>
  <si>
    <t>CORPORATE EXPRESS SPA</t>
  </si>
  <si>
    <t>VP/0008822</t>
  </si>
  <si>
    <t>VP/0008782</t>
  </si>
  <si>
    <t>67T</t>
  </si>
  <si>
    <t>13/2017</t>
  </si>
  <si>
    <t>8/B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</si>
  <si>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</si>
  <si>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TIM SPA</t>
  </si>
  <si>
    <t>F.LLI CONTE SNC</t>
  </si>
  <si>
    <t>13/50</t>
  </si>
  <si>
    <t>00579/4</t>
  </si>
  <si>
    <t>00580/4</t>
  </si>
  <si>
    <t>44T</t>
  </si>
  <si>
    <t>ORLANDO GIUSEPPE</t>
  </si>
  <si>
    <t>000001-2017-FE</t>
  </si>
  <si>
    <t>177/FE</t>
  </si>
  <si>
    <t>SISTEMI TERRITORIALI SRL</t>
  </si>
  <si>
    <t>GLOBAL POWER SERVICE SPA</t>
  </si>
  <si>
    <t>2017-V1-37</t>
  </si>
  <si>
    <t>4729/PA</t>
  </si>
  <si>
    <t>4732/PA</t>
  </si>
  <si>
    <t>6/PA</t>
  </si>
  <si>
    <t>19/B</t>
  </si>
  <si>
    <t>1019/PA</t>
  </si>
  <si>
    <t>31T</t>
  </si>
  <si>
    <t>129/PA</t>
  </si>
  <si>
    <t>111/PA</t>
  </si>
  <si>
    <t>17024/PA</t>
  </si>
  <si>
    <t>17023/PA</t>
  </si>
  <si>
    <t>598 PAS</t>
  </si>
  <si>
    <t>GIUNTI EDITORE SPA</t>
  </si>
  <si>
    <t>171/PA</t>
  </si>
  <si>
    <t>DAY RISTOSERVICE SPA</t>
  </si>
  <si>
    <t>V0-88949</t>
  </si>
  <si>
    <t>212/FE</t>
  </si>
  <si>
    <t>211/FE</t>
  </si>
  <si>
    <t>SERVIZIO ELETTRICO NAZIONALE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</si>
  <si>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</si>
  <si>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IDEST SRL</t>
  </si>
  <si>
    <t>61/3</t>
  </si>
  <si>
    <t>1/170831</t>
  </si>
  <si>
    <t>CO.GE.FOR. SRL</t>
  </si>
  <si>
    <t>171/E</t>
  </si>
  <si>
    <t>170/E</t>
  </si>
  <si>
    <t>BESENZON RENZO</t>
  </si>
  <si>
    <t>FE002</t>
  </si>
  <si>
    <t>133/PA</t>
  </si>
  <si>
    <t>193/PA</t>
  </si>
  <si>
    <t>LAMPI SRL</t>
  </si>
  <si>
    <t>33 PA</t>
  </si>
  <si>
    <t>8E00571714</t>
  </si>
  <si>
    <t>8E00573080</t>
  </si>
  <si>
    <t>209/PA</t>
  </si>
  <si>
    <t>MONDOFFICE SRL</t>
  </si>
  <si>
    <t>BARINA MICHELA</t>
  </si>
  <si>
    <t>8E00141573</t>
  </si>
  <si>
    <t>8E00147537</t>
  </si>
  <si>
    <t>61/PA</t>
  </si>
  <si>
    <t>NET GLOBAL SRL</t>
  </si>
  <si>
    <t>FATTPA 12_17</t>
  </si>
  <si>
    <t>BESENZON GIAMPIERO</t>
  </si>
  <si>
    <t>FE001</t>
  </si>
  <si>
    <t>97/PA</t>
  </si>
  <si>
    <t>FPC INFORMATICA SRL</t>
  </si>
  <si>
    <t>399/2017PA</t>
  </si>
  <si>
    <t>BARBIERO CINZIA</t>
  </si>
  <si>
    <t>2/E</t>
  </si>
  <si>
    <t>V1-1408-2017</t>
  </si>
  <si>
    <t>WOLTERS KLUWER ITALIA SRL</t>
  </si>
  <si>
    <t>AUTOFFICINA LIVIERI GIANNELLO &amp; C. SNC</t>
  </si>
  <si>
    <t>04/PA</t>
  </si>
  <si>
    <t>233/FE</t>
  </si>
  <si>
    <t>235/FE</t>
  </si>
  <si>
    <t>234/FE</t>
  </si>
  <si>
    <t>92/PA</t>
  </si>
  <si>
    <t>8E00352177</t>
  </si>
  <si>
    <t>8E00355858</t>
  </si>
  <si>
    <t>154/PA</t>
  </si>
  <si>
    <t>01/PA</t>
  </si>
  <si>
    <t>V1-81-2017</t>
  </si>
  <si>
    <t>02/PA</t>
  </si>
  <si>
    <t>FALEGNAMERIA ARTIGIANALE BERTOLDO S. &amp; C. SAS</t>
  </si>
  <si>
    <t>STUDIO ZARANTONELLO CLAUDIA</t>
  </si>
  <si>
    <t>FatPAM 1</t>
  </si>
  <si>
    <t>FATTPA 69_17</t>
  </si>
  <si>
    <t>03/PA</t>
  </si>
  <si>
    <t>FatPAM 2</t>
  </si>
  <si>
    <t>GOBBI DIEGO</t>
  </si>
  <si>
    <t>BIASION SEBASTIANO</t>
  </si>
  <si>
    <t>1796-00001</t>
  </si>
  <si>
    <t>1796-00002</t>
  </si>
  <si>
    <t>22 PA</t>
  </si>
  <si>
    <t>17 PA</t>
  </si>
  <si>
    <t>21 PA</t>
  </si>
  <si>
    <t>BIANCHI SNC DI BIANCHI I. &amp; L.</t>
  </si>
  <si>
    <t>1233/PA</t>
  </si>
  <si>
    <t>VENETAFLEX SNC</t>
  </si>
  <si>
    <t>V1-935-2017</t>
  </si>
  <si>
    <t>AZIENDA AGRICOLA PEDRINA NICO</t>
  </si>
  <si>
    <t>FatPAM 01</t>
  </si>
  <si>
    <t>R.G. IMPIANTI SRL</t>
  </si>
  <si>
    <t>48 PA</t>
  </si>
  <si>
    <t>49 PA</t>
  </si>
  <si>
    <t>1796-00003</t>
  </si>
  <si>
    <t>139/PA</t>
  </si>
  <si>
    <t>FRANCESCHIN NICOLA</t>
  </si>
  <si>
    <t>V1-314-2017</t>
  </si>
  <si>
    <t>238/PA</t>
  </si>
  <si>
    <t>S.I.A.E.</t>
  </si>
  <si>
    <t>ITINERARI E LUOGHI SRL</t>
  </si>
  <si>
    <t>NOTA20/02/2017</t>
  </si>
  <si>
    <t>R</t>
  </si>
  <si>
    <t>CITTA' METROPOLITANA DI VENEZIA</t>
  </si>
  <si>
    <t>NOTA</t>
  </si>
  <si>
    <t>VASSILLI SRL</t>
  </si>
  <si>
    <t>X/20173539</t>
  </si>
  <si>
    <t>IREDEEM SRL</t>
  </si>
  <si>
    <t>ARTEA SNC</t>
  </si>
  <si>
    <t>17-2017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</si>
  <si>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</si>
  <si>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18-2017</t>
  </si>
  <si>
    <t>28-2017</t>
  </si>
  <si>
    <t>27-2017</t>
  </si>
  <si>
    <t>*** RISULTATO ANNUALE ***</t>
  </si>
  <si>
    <t>***************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</si>
  <si>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</si>
  <si>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Indicatore annuale tempestività dei pagamenti 2017:  -14,29</t>
  </si>
  <si>
    <t>Dettaglio degli importi pagati nell'anno 2017 con indicazione dei tempi di pagamento e dei pagamenti dopo la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</si>
</sst>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" fontId="0" fillId="0" borderId="0" xfId="0" applyNumberFormat="1"/>
    <xf numFmtId="16" fontId="0" fillId="0" borderId="0" xfId="0" applyNumberFormat="1"/>
    <xf numFmtId="17" fontId="0" fillId="0" borderId="0" xfId="0" applyNumberFormat="1"/>
    <xf numFmtId="11" fontId="0" fillId="0" borderId="0" xfId="0" applyNumberFormat="1"/>
    <xf numFmtId="0" fontId="16" fillId="0" borderId="0" xfId="0" applyFont="1"/>
    <xf numFmtId="0" fontId="18" fillId="0" borderId="0" xfId="0" applyFont="1"/>
    <xf numFmtId="4" fontId="16" fillId="0" borderId="0" xfId="0" applyNumberFormat="1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0"/>
  <sheetViews>
    <sheetView tabSelected="1" workbookViewId="0">
      <selection activeCell="A1101" sqref="A1101"/>
    </sheetView>
  </sheetViews>
  <sheetFormatPr defaultRowHeight="15" x14ac:dyDescent="0.25"/>
  <cols>
    <col min="1" max="1" width="28.42578125" customWidth="1"/>
    <col min="3" max="3" width="13.42578125" bestFit="1" customWidth="1"/>
    <col min="5" max="5" width="11.42578125" bestFit="1" customWidth="1"/>
    <col min="7" max="7" width="15.5703125" bestFit="1" customWidth="1"/>
    <col min="8" max="8" width="13.5703125" bestFit="1" customWidth="1"/>
    <col min="10" max="10" width="11.7109375" bestFit="1" customWidth="1"/>
    <col min="11" max="11" width="10.140625" bestFit="1" customWidth="1"/>
    <col min="12" max="12" width="11.7109375" bestFit="1" customWidth="1"/>
  </cols>
  <sheetData>
    <row r="1" spans="1:14" s="7" customFormat="1" ht="15.75" x14ac:dyDescent="0.25">
      <c r="A1" s="7" t="s">
        <v>580</v>
      </c>
    </row>
    <row r="2" spans="1:14" s="7" customFormat="1" ht="15.75" x14ac:dyDescent="0.25">
      <c r="A2" s="7" t="s">
        <v>581</v>
      </c>
    </row>
    <row r="4" spans="1:14" s="6" customForma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14" x14ac:dyDescent="0.25">
      <c r="A5" t="s">
        <v>14</v>
      </c>
      <c r="B5">
        <v>1800</v>
      </c>
      <c r="C5" s="1">
        <v>43011</v>
      </c>
      <c r="D5" t="str">
        <f>"29"</f>
        <v>29</v>
      </c>
      <c r="E5" s="1">
        <v>42781</v>
      </c>
      <c r="F5">
        <v>0</v>
      </c>
      <c r="G5" s="1">
        <v>43011</v>
      </c>
      <c r="H5" s="1">
        <v>42809</v>
      </c>
      <c r="I5" t="s">
        <v>15</v>
      </c>
      <c r="J5">
        <v>4.4000000000000004</v>
      </c>
      <c r="K5">
        <v>0.79</v>
      </c>
      <c r="L5">
        <v>3.61</v>
      </c>
      <c r="M5">
        <v>202</v>
      </c>
      <c r="N5" t="s">
        <v>16</v>
      </c>
    </row>
    <row r="6" spans="1:14" x14ac:dyDescent="0.25">
      <c r="A6" t="s">
        <v>14</v>
      </c>
      <c r="B6">
        <v>1743</v>
      </c>
      <c r="C6" s="1">
        <v>43007</v>
      </c>
      <c r="D6" t="str">
        <f>"29"</f>
        <v>29</v>
      </c>
      <c r="E6" s="1">
        <v>42781</v>
      </c>
      <c r="F6">
        <v>0</v>
      </c>
      <c r="G6" s="1">
        <v>43010</v>
      </c>
      <c r="H6" s="1">
        <v>42809</v>
      </c>
      <c r="I6" t="s">
        <v>15</v>
      </c>
      <c r="J6">
        <v>20</v>
      </c>
      <c r="K6">
        <v>3.61</v>
      </c>
      <c r="L6">
        <v>16.39</v>
      </c>
      <c r="M6">
        <v>201</v>
      </c>
      <c r="N6" t="s">
        <v>16</v>
      </c>
    </row>
    <row r="7" spans="1:14" x14ac:dyDescent="0.25">
      <c r="A7" t="s">
        <v>17</v>
      </c>
      <c r="B7">
        <v>1716</v>
      </c>
      <c r="C7" s="1">
        <v>43005</v>
      </c>
      <c r="D7" t="str">
        <f>"04988"</f>
        <v>04988</v>
      </c>
      <c r="E7" s="1">
        <v>42854</v>
      </c>
      <c r="F7">
        <v>0</v>
      </c>
      <c r="G7" s="1">
        <v>43010</v>
      </c>
      <c r="H7" s="1">
        <v>42896</v>
      </c>
      <c r="I7" t="s">
        <v>15</v>
      </c>
      <c r="J7">
        <v>134.28</v>
      </c>
      <c r="K7">
        <v>8.2799999999999994</v>
      </c>
      <c r="L7">
        <v>126</v>
      </c>
      <c r="M7">
        <v>114</v>
      </c>
      <c r="N7" t="s">
        <v>18</v>
      </c>
    </row>
    <row r="8" spans="1:14" x14ac:dyDescent="0.25">
      <c r="A8" t="s">
        <v>19</v>
      </c>
      <c r="B8">
        <v>924</v>
      </c>
      <c r="C8" s="1">
        <v>42872</v>
      </c>
      <c r="D8" s="3">
        <v>43221</v>
      </c>
      <c r="E8" s="1">
        <v>42766</v>
      </c>
      <c r="F8">
        <v>0</v>
      </c>
      <c r="G8" s="1">
        <v>42873</v>
      </c>
      <c r="H8" s="1">
        <v>42766</v>
      </c>
      <c r="I8" t="s">
        <v>15</v>
      </c>
      <c r="J8">
        <v>80.25</v>
      </c>
      <c r="K8">
        <v>14.47</v>
      </c>
      <c r="L8">
        <v>65.78</v>
      </c>
      <c r="M8">
        <v>107</v>
      </c>
      <c r="N8" t="s">
        <v>20</v>
      </c>
    </row>
    <row r="9" spans="1:14" x14ac:dyDescent="0.25">
      <c r="A9" t="s">
        <v>21</v>
      </c>
      <c r="B9">
        <v>1956</v>
      </c>
      <c r="C9" s="1">
        <v>43048</v>
      </c>
      <c r="D9" t="s">
        <v>22</v>
      </c>
      <c r="E9" s="1">
        <v>42892</v>
      </c>
      <c r="F9">
        <v>0</v>
      </c>
      <c r="G9" s="1">
        <v>43049</v>
      </c>
      <c r="H9" s="1">
        <v>42953</v>
      </c>
      <c r="I9" t="s">
        <v>23</v>
      </c>
      <c r="J9" s="2">
        <v>1015.04</v>
      </c>
      <c r="K9">
        <v>0</v>
      </c>
      <c r="L9" s="2">
        <v>1015.04</v>
      </c>
      <c r="M9">
        <v>96</v>
      </c>
      <c r="N9" t="s">
        <v>24</v>
      </c>
    </row>
    <row r="10" spans="1:14" x14ac:dyDescent="0.25">
      <c r="A10" t="s">
        <v>25</v>
      </c>
      <c r="B10">
        <v>1014</v>
      </c>
      <c r="C10" s="1">
        <v>42895</v>
      </c>
      <c r="D10" t="s">
        <v>26</v>
      </c>
      <c r="E10" s="1">
        <v>42782</v>
      </c>
      <c r="F10">
        <v>0</v>
      </c>
      <c r="G10" s="1">
        <v>42895</v>
      </c>
      <c r="H10" s="1">
        <v>42810</v>
      </c>
      <c r="I10" t="s">
        <v>15</v>
      </c>
      <c r="J10">
        <v>85.4</v>
      </c>
      <c r="K10">
        <v>15.4</v>
      </c>
      <c r="L10">
        <v>70</v>
      </c>
      <c r="M10">
        <v>85</v>
      </c>
      <c r="N10" t="s">
        <v>27</v>
      </c>
    </row>
    <row r="11" spans="1:14" x14ac:dyDescent="0.25">
      <c r="A11" t="s">
        <v>28</v>
      </c>
      <c r="B11">
        <v>1713</v>
      </c>
      <c r="C11" s="1">
        <v>43005</v>
      </c>
      <c r="D11" t="s">
        <v>29</v>
      </c>
      <c r="E11" s="1">
        <v>42891</v>
      </c>
      <c r="F11">
        <v>0</v>
      </c>
      <c r="G11" s="1">
        <v>43010</v>
      </c>
      <c r="H11" s="1">
        <v>42947</v>
      </c>
      <c r="I11" t="s">
        <v>15</v>
      </c>
      <c r="J11" s="2">
        <v>1525</v>
      </c>
      <c r="K11">
        <v>275</v>
      </c>
      <c r="L11" s="2">
        <v>1250</v>
      </c>
      <c r="M11">
        <v>63</v>
      </c>
      <c r="N11" t="s">
        <v>30</v>
      </c>
    </row>
    <row r="12" spans="1:14" x14ac:dyDescent="0.25">
      <c r="A12" t="s">
        <v>31</v>
      </c>
      <c r="B12">
        <v>1212</v>
      </c>
      <c r="C12" s="1">
        <v>42922</v>
      </c>
      <c r="D12" t="s">
        <v>32</v>
      </c>
      <c r="E12" s="1">
        <v>42831</v>
      </c>
      <c r="F12">
        <v>0</v>
      </c>
      <c r="G12" s="1">
        <v>42923</v>
      </c>
      <c r="H12" s="1">
        <v>42861</v>
      </c>
      <c r="I12" t="s">
        <v>15</v>
      </c>
      <c r="J12" s="2">
        <v>2378.89</v>
      </c>
      <c r="K12">
        <v>113.28</v>
      </c>
      <c r="L12" s="2">
        <v>2265.61</v>
      </c>
      <c r="M12">
        <v>62</v>
      </c>
      <c r="N12" t="s">
        <v>33</v>
      </c>
    </row>
    <row r="13" spans="1:14" x14ac:dyDescent="0.25">
      <c r="A13" t="s">
        <v>31</v>
      </c>
      <c r="B13">
        <v>1213</v>
      </c>
      <c r="C13" s="1">
        <v>42922</v>
      </c>
      <c r="D13" t="s">
        <v>34</v>
      </c>
      <c r="E13" s="1">
        <v>42831</v>
      </c>
      <c r="F13">
        <v>0</v>
      </c>
      <c r="G13" s="1">
        <v>42923</v>
      </c>
      <c r="H13" s="1">
        <v>42861</v>
      </c>
      <c r="I13" t="s">
        <v>15</v>
      </c>
      <c r="J13">
        <v>11.96</v>
      </c>
      <c r="K13">
        <v>0.56999999999999995</v>
      </c>
      <c r="L13">
        <v>11.39</v>
      </c>
      <c r="M13">
        <v>62</v>
      </c>
      <c r="N13" t="s">
        <v>33</v>
      </c>
    </row>
    <row r="14" spans="1:14" x14ac:dyDescent="0.25">
      <c r="A14" t="s">
        <v>35</v>
      </c>
      <c r="B14">
        <v>2103</v>
      </c>
      <c r="C14" s="1">
        <v>43066</v>
      </c>
      <c r="D14" t="s">
        <v>36</v>
      </c>
      <c r="E14" s="1">
        <v>42977</v>
      </c>
      <c r="F14">
        <v>0</v>
      </c>
      <c r="G14" s="1">
        <v>43067</v>
      </c>
      <c r="H14" s="1">
        <v>43007</v>
      </c>
      <c r="I14" t="s">
        <v>15</v>
      </c>
      <c r="J14">
        <v>921.22</v>
      </c>
      <c r="K14">
        <v>166.12</v>
      </c>
      <c r="L14">
        <v>755.1</v>
      </c>
      <c r="M14">
        <v>60</v>
      </c>
      <c r="N14" t="s">
        <v>18</v>
      </c>
    </row>
    <row r="15" spans="1:14" x14ac:dyDescent="0.25">
      <c r="A15" t="s">
        <v>37</v>
      </c>
      <c r="B15">
        <v>1581</v>
      </c>
      <c r="C15" s="1">
        <v>42972</v>
      </c>
      <c r="D15" t="s">
        <v>38</v>
      </c>
      <c r="E15" s="1">
        <v>42886</v>
      </c>
      <c r="F15">
        <v>0</v>
      </c>
      <c r="G15" s="1">
        <v>42972</v>
      </c>
      <c r="H15" s="1">
        <v>42916</v>
      </c>
      <c r="I15" t="s">
        <v>15</v>
      </c>
      <c r="J15">
        <v>55.72</v>
      </c>
      <c r="K15">
        <v>5.07</v>
      </c>
      <c r="L15">
        <v>50.65</v>
      </c>
      <c r="M15">
        <v>56</v>
      </c>
      <c r="N15" t="s">
        <v>39</v>
      </c>
    </row>
    <row r="16" spans="1:14" x14ac:dyDescent="0.25">
      <c r="A16" t="s">
        <v>40</v>
      </c>
      <c r="B16">
        <v>2174</v>
      </c>
      <c r="C16" s="1">
        <v>43074</v>
      </c>
      <c r="D16" t="str">
        <f>"600004556258"</f>
        <v>600004556258</v>
      </c>
      <c r="E16" s="1">
        <v>42996</v>
      </c>
      <c r="F16">
        <v>0</v>
      </c>
      <c r="G16" s="1">
        <v>43075</v>
      </c>
      <c r="H16" s="1">
        <v>43024</v>
      </c>
      <c r="I16" t="s">
        <v>15</v>
      </c>
      <c r="J16">
        <v>0.35</v>
      </c>
      <c r="K16">
        <v>0.35</v>
      </c>
      <c r="L16">
        <v>0</v>
      </c>
      <c r="M16">
        <v>51</v>
      </c>
      <c r="N16" t="s">
        <v>41</v>
      </c>
    </row>
    <row r="17" spans="1:14" x14ac:dyDescent="0.25">
      <c r="A17" t="s">
        <v>42</v>
      </c>
      <c r="B17">
        <v>741</v>
      </c>
      <c r="C17" s="1">
        <v>42846</v>
      </c>
      <c r="D17" t="s">
        <v>43</v>
      </c>
      <c r="E17" s="1">
        <v>42766</v>
      </c>
      <c r="F17">
        <v>0</v>
      </c>
      <c r="G17" s="1">
        <v>42846</v>
      </c>
      <c r="H17" s="1">
        <v>42796</v>
      </c>
      <c r="I17" t="s">
        <v>15</v>
      </c>
      <c r="J17" s="2">
        <v>1581</v>
      </c>
      <c r="K17">
        <v>0</v>
      </c>
      <c r="L17" s="2">
        <v>1581</v>
      </c>
      <c r="M17">
        <v>50</v>
      </c>
      <c r="N17" t="s">
        <v>44</v>
      </c>
    </row>
    <row r="18" spans="1:14" x14ac:dyDescent="0.25">
      <c r="A18" t="s">
        <v>45</v>
      </c>
      <c r="B18">
        <v>2322</v>
      </c>
      <c r="C18" s="1">
        <v>43082</v>
      </c>
      <c r="D18" s="4">
        <v>42917</v>
      </c>
      <c r="E18" s="1">
        <v>43005</v>
      </c>
      <c r="F18">
        <v>0</v>
      </c>
      <c r="G18" s="1">
        <v>43082</v>
      </c>
      <c r="H18" s="1">
        <v>43035</v>
      </c>
      <c r="I18" t="s">
        <v>15</v>
      </c>
      <c r="J18" s="2">
        <v>1586</v>
      </c>
      <c r="K18">
        <v>286</v>
      </c>
      <c r="L18" s="2">
        <v>1300</v>
      </c>
      <c r="M18">
        <v>47</v>
      </c>
      <c r="N18" t="s">
        <v>30</v>
      </c>
    </row>
    <row r="19" spans="1:14" x14ac:dyDescent="0.25">
      <c r="A19" t="s">
        <v>46</v>
      </c>
      <c r="B19">
        <v>745</v>
      </c>
      <c r="C19" s="1">
        <v>42846</v>
      </c>
      <c r="D19" t="s">
        <v>47</v>
      </c>
      <c r="E19" s="1">
        <v>42801</v>
      </c>
      <c r="F19">
        <v>0</v>
      </c>
      <c r="G19" s="1">
        <v>42846</v>
      </c>
      <c r="H19" s="1">
        <v>42801</v>
      </c>
      <c r="I19" t="s">
        <v>15</v>
      </c>
      <c r="J19">
        <v>302.26</v>
      </c>
      <c r="K19">
        <v>54.51</v>
      </c>
      <c r="L19">
        <v>247.75</v>
      </c>
      <c r="M19">
        <v>45</v>
      </c>
      <c r="N19" t="s">
        <v>48</v>
      </c>
    </row>
    <row r="20" spans="1:14" x14ac:dyDescent="0.25">
      <c r="A20" t="s">
        <v>49</v>
      </c>
      <c r="B20">
        <v>2123</v>
      </c>
      <c r="C20" s="1">
        <v>43066</v>
      </c>
      <c r="D20" t="s">
        <v>50</v>
      </c>
      <c r="E20" s="1">
        <v>43005</v>
      </c>
      <c r="F20">
        <v>0</v>
      </c>
      <c r="G20" s="1">
        <v>43067</v>
      </c>
      <c r="H20" s="1">
        <v>43025</v>
      </c>
      <c r="I20" t="s">
        <v>15</v>
      </c>
      <c r="J20">
        <v>59.76</v>
      </c>
      <c r="K20">
        <v>9.84</v>
      </c>
      <c r="L20">
        <v>49.92</v>
      </c>
      <c r="M20">
        <v>42</v>
      </c>
      <c r="N20" t="s">
        <v>20</v>
      </c>
    </row>
    <row r="21" spans="1:14" x14ac:dyDescent="0.25">
      <c r="A21" t="s">
        <v>49</v>
      </c>
      <c r="B21">
        <v>2124</v>
      </c>
      <c r="C21" s="1">
        <v>43066</v>
      </c>
      <c r="D21" t="s">
        <v>50</v>
      </c>
      <c r="E21" s="1">
        <v>43005</v>
      </c>
      <c r="F21">
        <v>0</v>
      </c>
      <c r="G21" s="1">
        <v>43067</v>
      </c>
      <c r="H21" s="1">
        <v>43025</v>
      </c>
      <c r="I21" t="s">
        <v>15</v>
      </c>
      <c r="J21">
        <v>300</v>
      </c>
      <c r="K21">
        <v>49.42</v>
      </c>
      <c r="L21">
        <v>250.58</v>
      </c>
      <c r="M21">
        <v>42</v>
      </c>
      <c r="N21" t="s">
        <v>20</v>
      </c>
    </row>
    <row r="22" spans="1:14" x14ac:dyDescent="0.25">
      <c r="A22" t="s">
        <v>49</v>
      </c>
      <c r="B22">
        <v>2122</v>
      </c>
      <c r="C22" s="1">
        <v>43066</v>
      </c>
      <c r="D22" t="s">
        <v>50</v>
      </c>
      <c r="E22" s="1">
        <v>43005</v>
      </c>
      <c r="F22">
        <v>0</v>
      </c>
      <c r="G22" s="1">
        <v>43067</v>
      </c>
      <c r="H22" s="1">
        <v>43025</v>
      </c>
      <c r="I22" t="s">
        <v>15</v>
      </c>
      <c r="J22">
        <v>246.73</v>
      </c>
      <c r="K22">
        <v>40.64</v>
      </c>
      <c r="L22">
        <v>206.09</v>
      </c>
      <c r="M22">
        <v>42</v>
      </c>
      <c r="N22" t="s">
        <v>20</v>
      </c>
    </row>
    <row r="23" spans="1:14" x14ac:dyDescent="0.25">
      <c r="A23" t="s">
        <v>49</v>
      </c>
      <c r="B23">
        <v>2121</v>
      </c>
      <c r="C23" s="1">
        <v>43066</v>
      </c>
      <c r="D23" t="s">
        <v>50</v>
      </c>
      <c r="E23" s="1">
        <v>43005</v>
      </c>
      <c r="F23">
        <v>0</v>
      </c>
      <c r="G23" s="1">
        <v>43067</v>
      </c>
      <c r="H23" s="1">
        <v>43025</v>
      </c>
      <c r="I23" t="s">
        <v>15</v>
      </c>
      <c r="J23" s="2">
        <v>2720.71</v>
      </c>
      <c r="K23">
        <v>448.17</v>
      </c>
      <c r="L23" s="2">
        <v>2272.54</v>
      </c>
      <c r="M23">
        <v>42</v>
      </c>
      <c r="N23" t="s">
        <v>20</v>
      </c>
    </row>
    <row r="24" spans="1:14" x14ac:dyDescent="0.25">
      <c r="A24" t="s">
        <v>51</v>
      </c>
      <c r="B24">
        <v>1032</v>
      </c>
      <c r="C24" s="1">
        <v>42895</v>
      </c>
      <c r="D24" s="4">
        <v>42767</v>
      </c>
      <c r="E24" s="1">
        <v>42824</v>
      </c>
      <c r="F24">
        <v>0</v>
      </c>
      <c r="G24" s="1">
        <v>42895</v>
      </c>
      <c r="H24" s="1">
        <v>42853</v>
      </c>
      <c r="I24" t="s">
        <v>15</v>
      </c>
      <c r="J24" s="2">
        <v>9769.76</v>
      </c>
      <c r="K24">
        <v>0</v>
      </c>
      <c r="L24" s="2">
        <v>9769.76</v>
      </c>
      <c r="M24">
        <v>42</v>
      </c>
      <c r="N24" t="s">
        <v>52</v>
      </c>
    </row>
    <row r="25" spans="1:14" x14ac:dyDescent="0.25">
      <c r="A25" t="s">
        <v>53</v>
      </c>
      <c r="B25">
        <v>1440</v>
      </c>
      <c r="C25" s="1">
        <v>42956</v>
      </c>
      <c r="D25" t="s">
        <v>54</v>
      </c>
      <c r="E25" s="1">
        <v>42916</v>
      </c>
      <c r="F25">
        <v>0</v>
      </c>
      <c r="G25" s="1">
        <v>42957</v>
      </c>
      <c r="H25" s="1">
        <v>42916</v>
      </c>
      <c r="I25" t="s">
        <v>15</v>
      </c>
      <c r="J25">
        <v>325.8</v>
      </c>
      <c r="K25">
        <v>58.75</v>
      </c>
      <c r="L25">
        <v>267.05</v>
      </c>
      <c r="M25">
        <v>41</v>
      </c>
      <c r="N25" t="s">
        <v>55</v>
      </c>
    </row>
    <row r="26" spans="1:14" x14ac:dyDescent="0.25">
      <c r="A26" t="s">
        <v>53</v>
      </c>
      <c r="B26">
        <v>1441</v>
      </c>
      <c r="C26" s="1">
        <v>42956</v>
      </c>
      <c r="D26" t="s">
        <v>54</v>
      </c>
      <c r="E26" s="1">
        <v>42916</v>
      </c>
      <c r="F26">
        <v>0</v>
      </c>
      <c r="G26" s="1">
        <v>42957</v>
      </c>
      <c r="H26" s="1">
        <v>42916</v>
      </c>
      <c r="I26" t="s">
        <v>15</v>
      </c>
      <c r="J26">
        <v>651.6</v>
      </c>
      <c r="K26">
        <v>117.5</v>
      </c>
      <c r="L26">
        <v>534.1</v>
      </c>
      <c r="M26">
        <v>41</v>
      </c>
      <c r="N26" t="s">
        <v>55</v>
      </c>
    </row>
    <row r="27" spans="1:14" x14ac:dyDescent="0.25">
      <c r="A27" t="s">
        <v>53</v>
      </c>
      <c r="B27">
        <v>1444</v>
      </c>
      <c r="C27" s="1">
        <v>42956</v>
      </c>
      <c r="D27" t="s">
        <v>54</v>
      </c>
      <c r="E27" s="1">
        <v>42916</v>
      </c>
      <c r="F27">
        <v>0</v>
      </c>
      <c r="G27" s="1">
        <v>42957</v>
      </c>
      <c r="H27" s="1">
        <v>42916</v>
      </c>
      <c r="I27" t="s">
        <v>15</v>
      </c>
      <c r="J27">
        <v>325.8</v>
      </c>
      <c r="K27">
        <v>58.75</v>
      </c>
      <c r="L27">
        <v>267.05</v>
      </c>
      <c r="M27">
        <v>41</v>
      </c>
      <c r="N27" t="s">
        <v>55</v>
      </c>
    </row>
    <row r="28" spans="1:14" x14ac:dyDescent="0.25">
      <c r="A28" t="s">
        <v>53</v>
      </c>
      <c r="B28">
        <v>1442</v>
      </c>
      <c r="C28" s="1">
        <v>42956</v>
      </c>
      <c r="D28" t="s">
        <v>54</v>
      </c>
      <c r="E28" s="1">
        <v>42916</v>
      </c>
      <c r="F28">
        <v>0</v>
      </c>
      <c r="G28" s="1">
        <v>42957</v>
      </c>
      <c r="H28" s="1">
        <v>42916</v>
      </c>
      <c r="I28" t="s">
        <v>15</v>
      </c>
      <c r="J28">
        <v>325.8</v>
      </c>
      <c r="K28">
        <v>58.75</v>
      </c>
      <c r="L28">
        <v>267.05</v>
      </c>
      <c r="M28">
        <v>41</v>
      </c>
      <c r="N28" t="s">
        <v>55</v>
      </c>
    </row>
    <row r="29" spans="1:14" x14ac:dyDescent="0.25">
      <c r="A29" t="s">
        <v>53</v>
      </c>
      <c r="B29">
        <v>1445</v>
      </c>
      <c r="C29" s="1">
        <v>42956</v>
      </c>
      <c r="D29" t="s">
        <v>54</v>
      </c>
      <c r="E29" s="1">
        <v>42916</v>
      </c>
      <c r="F29">
        <v>0</v>
      </c>
      <c r="G29" s="1">
        <v>42957</v>
      </c>
      <c r="H29" s="1">
        <v>42916</v>
      </c>
      <c r="I29" t="s">
        <v>15</v>
      </c>
      <c r="J29">
        <v>325.8</v>
      </c>
      <c r="K29">
        <v>58.75</v>
      </c>
      <c r="L29">
        <v>267.05</v>
      </c>
      <c r="M29">
        <v>41</v>
      </c>
      <c r="N29" t="s">
        <v>55</v>
      </c>
    </row>
    <row r="30" spans="1:14" x14ac:dyDescent="0.25">
      <c r="A30" t="s">
        <v>53</v>
      </c>
      <c r="B30">
        <v>1446</v>
      </c>
      <c r="C30" s="1">
        <v>42956</v>
      </c>
      <c r="D30" t="s">
        <v>54</v>
      </c>
      <c r="E30" s="1">
        <v>42916</v>
      </c>
      <c r="F30">
        <v>0</v>
      </c>
      <c r="G30" s="1">
        <v>42957</v>
      </c>
      <c r="H30" s="1">
        <v>42916</v>
      </c>
      <c r="I30" t="s">
        <v>15</v>
      </c>
      <c r="J30">
        <v>325.81</v>
      </c>
      <c r="K30">
        <v>58.76</v>
      </c>
      <c r="L30">
        <v>267.05</v>
      </c>
      <c r="M30">
        <v>41</v>
      </c>
      <c r="N30" t="s">
        <v>55</v>
      </c>
    </row>
    <row r="31" spans="1:14" x14ac:dyDescent="0.25">
      <c r="A31" t="s">
        <v>53</v>
      </c>
      <c r="B31">
        <v>1443</v>
      </c>
      <c r="C31" s="1">
        <v>42956</v>
      </c>
      <c r="D31" t="s">
        <v>54</v>
      </c>
      <c r="E31" s="1">
        <v>42916</v>
      </c>
      <c r="F31">
        <v>0</v>
      </c>
      <c r="G31" s="1">
        <v>42957</v>
      </c>
      <c r="H31" s="1">
        <v>42916</v>
      </c>
      <c r="I31" t="s">
        <v>15</v>
      </c>
      <c r="J31">
        <v>651.6</v>
      </c>
      <c r="K31">
        <v>117.5</v>
      </c>
      <c r="L31">
        <v>534.1</v>
      </c>
      <c r="M31">
        <v>41</v>
      </c>
      <c r="N31" t="s">
        <v>55</v>
      </c>
    </row>
    <row r="32" spans="1:14" x14ac:dyDescent="0.25">
      <c r="A32" t="s">
        <v>53</v>
      </c>
      <c r="B32">
        <v>1439</v>
      </c>
      <c r="C32" s="1">
        <v>42956</v>
      </c>
      <c r="D32" t="s">
        <v>54</v>
      </c>
      <c r="E32" s="1">
        <v>42916</v>
      </c>
      <c r="F32">
        <v>0</v>
      </c>
      <c r="G32" s="1">
        <v>42957</v>
      </c>
      <c r="H32" s="1">
        <v>42916</v>
      </c>
      <c r="I32" t="s">
        <v>15</v>
      </c>
      <c r="J32">
        <v>325.8</v>
      </c>
      <c r="K32">
        <v>58.75</v>
      </c>
      <c r="L32">
        <v>267.05</v>
      </c>
      <c r="M32">
        <v>41</v>
      </c>
      <c r="N32" t="s">
        <v>55</v>
      </c>
    </row>
    <row r="33" spans="1:14" x14ac:dyDescent="0.25">
      <c r="A33" t="s">
        <v>53</v>
      </c>
      <c r="B33">
        <v>1419</v>
      </c>
      <c r="C33" s="1">
        <v>42956</v>
      </c>
      <c r="D33" t="s">
        <v>56</v>
      </c>
      <c r="E33" s="1">
        <v>42916</v>
      </c>
      <c r="F33">
        <v>0</v>
      </c>
      <c r="G33" s="1">
        <v>42957</v>
      </c>
      <c r="H33" s="1">
        <v>42916</v>
      </c>
      <c r="I33" t="s">
        <v>15</v>
      </c>
      <c r="J33" s="2">
        <v>2061.8000000000002</v>
      </c>
      <c r="K33">
        <v>371.8</v>
      </c>
      <c r="L33" s="2">
        <v>1690</v>
      </c>
      <c r="M33">
        <v>41</v>
      </c>
      <c r="N33" t="s">
        <v>55</v>
      </c>
    </row>
    <row r="34" spans="1:14" x14ac:dyDescent="0.25">
      <c r="A34" t="s">
        <v>57</v>
      </c>
      <c r="B34">
        <v>1122</v>
      </c>
      <c r="C34" s="1">
        <v>42909</v>
      </c>
      <c r="D34" t="s">
        <v>58</v>
      </c>
      <c r="E34" s="1">
        <v>42839</v>
      </c>
      <c r="F34">
        <v>0</v>
      </c>
      <c r="G34" s="1">
        <v>42909</v>
      </c>
      <c r="H34" s="1">
        <v>42869</v>
      </c>
      <c r="I34" t="s">
        <v>15</v>
      </c>
      <c r="J34">
        <v>1.92</v>
      </c>
      <c r="K34">
        <v>0.35</v>
      </c>
      <c r="L34">
        <v>1.57</v>
      </c>
      <c r="M34">
        <v>40</v>
      </c>
      <c r="N34" t="s">
        <v>59</v>
      </c>
    </row>
    <row r="35" spans="1:14" x14ac:dyDescent="0.25">
      <c r="A35" t="s">
        <v>60</v>
      </c>
      <c r="B35">
        <v>2324</v>
      </c>
      <c r="C35" s="1">
        <v>43088</v>
      </c>
      <c r="D35" t="str">
        <f>"2017120001948"</f>
        <v>2017120001948</v>
      </c>
      <c r="E35" s="1">
        <v>43042</v>
      </c>
      <c r="F35">
        <v>0</v>
      </c>
      <c r="G35" s="1">
        <v>43088</v>
      </c>
      <c r="H35" s="1">
        <v>43049</v>
      </c>
      <c r="I35" t="s">
        <v>15</v>
      </c>
      <c r="J35">
        <v>91.32</v>
      </c>
      <c r="K35">
        <v>0</v>
      </c>
      <c r="L35">
        <v>91.32</v>
      </c>
      <c r="M35">
        <v>39</v>
      </c>
      <c r="N35" t="s">
        <v>27</v>
      </c>
    </row>
    <row r="36" spans="1:14" x14ac:dyDescent="0.25">
      <c r="A36" t="s">
        <v>60</v>
      </c>
      <c r="B36">
        <v>2324</v>
      </c>
      <c r="C36" s="1">
        <v>43088</v>
      </c>
      <c r="D36" t="str">
        <f>"2017120001948"</f>
        <v>2017120001948</v>
      </c>
      <c r="E36" s="1">
        <v>43042</v>
      </c>
      <c r="F36">
        <v>0</v>
      </c>
      <c r="G36" s="1">
        <v>43088</v>
      </c>
      <c r="H36" s="1">
        <v>43049</v>
      </c>
      <c r="I36" t="s">
        <v>15</v>
      </c>
      <c r="J36">
        <v>45.54</v>
      </c>
      <c r="K36">
        <v>0</v>
      </c>
      <c r="L36">
        <v>45.54</v>
      </c>
      <c r="M36">
        <v>39</v>
      </c>
      <c r="N36" t="s">
        <v>27</v>
      </c>
    </row>
    <row r="37" spans="1:14" x14ac:dyDescent="0.25">
      <c r="A37" t="s">
        <v>61</v>
      </c>
      <c r="B37">
        <v>938</v>
      </c>
      <c r="C37" s="1">
        <v>42872</v>
      </c>
      <c r="D37" t="str">
        <f>"125"</f>
        <v>125</v>
      </c>
      <c r="E37" s="1">
        <v>42767</v>
      </c>
      <c r="F37">
        <v>0</v>
      </c>
      <c r="G37" s="1">
        <v>42873</v>
      </c>
      <c r="H37" s="1">
        <v>42835</v>
      </c>
      <c r="I37" t="s">
        <v>15</v>
      </c>
      <c r="J37">
        <v>136.9</v>
      </c>
      <c r="K37">
        <v>0</v>
      </c>
      <c r="L37">
        <v>136.9</v>
      </c>
      <c r="M37">
        <v>38</v>
      </c>
      <c r="N37" t="s">
        <v>62</v>
      </c>
    </row>
    <row r="38" spans="1:14" x14ac:dyDescent="0.25">
      <c r="A38" t="s">
        <v>61</v>
      </c>
      <c r="B38">
        <v>938</v>
      </c>
      <c r="C38" s="1">
        <v>42872</v>
      </c>
      <c r="D38" t="str">
        <f>"130"</f>
        <v>130</v>
      </c>
      <c r="E38" s="1">
        <v>42767</v>
      </c>
      <c r="F38">
        <v>0</v>
      </c>
      <c r="G38" s="1">
        <v>42873</v>
      </c>
      <c r="H38" s="1">
        <v>42835</v>
      </c>
      <c r="I38" t="s">
        <v>15</v>
      </c>
      <c r="J38">
        <v>258.16000000000003</v>
      </c>
      <c r="K38">
        <v>0</v>
      </c>
      <c r="L38">
        <v>258.16000000000003</v>
      </c>
      <c r="M38">
        <v>38</v>
      </c>
      <c r="N38" t="s">
        <v>62</v>
      </c>
    </row>
    <row r="39" spans="1:14" x14ac:dyDescent="0.25">
      <c r="A39" t="s">
        <v>61</v>
      </c>
      <c r="B39">
        <v>938</v>
      </c>
      <c r="C39" s="1">
        <v>42872</v>
      </c>
      <c r="D39" t="str">
        <f>"132"</f>
        <v>132</v>
      </c>
      <c r="E39" s="1">
        <v>42767</v>
      </c>
      <c r="F39">
        <v>0</v>
      </c>
      <c r="G39" s="1">
        <v>42873</v>
      </c>
      <c r="H39" s="1">
        <v>42835</v>
      </c>
      <c r="I39" t="s">
        <v>15</v>
      </c>
      <c r="J39">
        <v>128.66</v>
      </c>
      <c r="K39">
        <v>0</v>
      </c>
      <c r="L39">
        <v>128.66</v>
      </c>
      <c r="M39">
        <v>38</v>
      </c>
      <c r="N39" t="s">
        <v>62</v>
      </c>
    </row>
    <row r="40" spans="1:14" x14ac:dyDescent="0.25">
      <c r="A40" t="s">
        <v>31</v>
      </c>
      <c r="B40">
        <v>1214</v>
      </c>
      <c r="C40" s="1">
        <v>42922</v>
      </c>
      <c r="D40" t="s">
        <v>63</v>
      </c>
      <c r="E40" s="1">
        <v>42858</v>
      </c>
      <c r="F40">
        <v>0</v>
      </c>
      <c r="G40" s="1">
        <v>42923</v>
      </c>
      <c r="H40" s="1">
        <v>42888</v>
      </c>
      <c r="I40" t="s">
        <v>15</v>
      </c>
      <c r="J40">
        <v>7.8</v>
      </c>
      <c r="K40">
        <v>0.37</v>
      </c>
      <c r="L40">
        <v>7.43</v>
      </c>
      <c r="M40">
        <v>35</v>
      </c>
      <c r="N40" t="s">
        <v>33</v>
      </c>
    </row>
    <row r="41" spans="1:14" x14ac:dyDescent="0.25">
      <c r="A41" t="s">
        <v>64</v>
      </c>
      <c r="B41">
        <v>546</v>
      </c>
      <c r="C41" s="1">
        <v>42821</v>
      </c>
      <c r="D41" t="s">
        <v>65</v>
      </c>
      <c r="E41" s="1">
        <v>42767</v>
      </c>
      <c r="F41">
        <v>0</v>
      </c>
      <c r="G41" s="1">
        <v>42821</v>
      </c>
      <c r="H41" s="1">
        <v>42787</v>
      </c>
      <c r="I41" t="s">
        <v>15</v>
      </c>
      <c r="J41" s="2">
        <v>3034.95</v>
      </c>
      <c r="K41">
        <v>547.29</v>
      </c>
      <c r="L41" s="2">
        <v>2487.66</v>
      </c>
      <c r="M41">
        <v>34</v>
      </c>
      <c r="N41" t="s">
        <v>66</v>
      </c>
    </row>
    <row r="42" spans="1:14" x14ac:dyDescent="0.25">
      <c r="A42" t="s">
        <v>64</v>
      </c>
      <c r="B42">
        <v>548</v>
      </c>
      <c r="C42" s="1">
        <v>42821</v>
      </c>
      <c r="D42" t="s">
        <v>67</v>
      </c>
      <c r="E42" s="1">
        <v>42767</v>
      </c>
      <c r="F42">
        <v>0</v>
      </c>
      <c r="G42" s="1">
        <v>42821</v>
      </c>
      <c r="H42" s="1">
        <v>42787</v>
      </c>
      <c r="I42" t="s">
        <v>15</v>
      </c>
      <c r="J42">
        <v>783.31</v>
      </c>
      <c r="K42">
        <v>141.25</v>
      </c>
      <c r="L42">
        <v>642.05999999999995</v>
      </c>
      <c r="M42">
        <v>34</v>
      </c>
      <c r="N42" t="s">
        <v>66</v>
      </c>
    </row>
    <row r="43" spans="1:14" x14ac:dyDescent="0.25">
      <c r="A43" t="s">
        <v>64</v>
      </c>
      <c r="B43">
        <v>547</v>
      </c>
      <c r="C43" s="1">
        <v>42821</v>
      </c>
      <c r="D43" t="s">
        <v>68</v>
      </c>
      <c r="E43" s="1">
        <v>42767</v>
      </c>
      <c r="F43">
        <v>0</v>
      </c>
      <c r="G43" s="1">
        <v>42821</v>
      </c>
      <c r="H43" s="1">
        <v>42787</v>
      </c>
      <c r="I43" t="s">
        <v>15</v>
      </c>
      <c r="J43">
        <v>110.72</v>
      </c>
      <c r="K43">
        <v>19.97</v>
      </c>
      <c r="L43">
        <v>90.75</v>
      </c>
      <c r="M43">
        <v>34</v>
      </c>
      <c r="N43" t="s">
        <v>66</v>
      </c>
    </row>
    <row r="44" spans="1:14" x14ac:dyDescent="0.25">
      <c r="A44" t="s">
        <v>64</v>
      </c>
      <c r="B44">
        <v>549</v>
      </c>
      <c r="C44" s="1">
        <v>42821</v>
      </c>
      <c r="D44" t="s">
        <v>69</v>
      </c>
      <c r="E44" s="1">
        <v>42767</v>
      </c>
      <c r="F44">
        <v>0</v>
      </c>
      <c r="G44" s="1">
        <v>42821</v>
      </c>
      <c r="H44" s="1">
        <v>42787</v>
      </c>
      <c r="I44" t="s">
        <v>15</v>
      </c>
      <c r="J44">
        <v>59.08</v>
      </c>
      <c r="K44">
        <v>7</v>
      </c>
      <c r="L44">
        <v>52.08</v>
      </c>
      <c r="M44">
        <v>34</v>
      </c>
      <c r="N44" t="s">
        <v>66</v>
      </c>
    </row>
    <row r="45" spans="1:14" x14ac:dyDescent="0.25">
      <c r="A45" t="s">
        <v>64</v>
      </c>
      <c r="B45">
        <v>550</v>
      </c>
      <c r="C45" s="1">
        <v>42821</v>
      </c>
      <c r="D45" t="s">
        <v>69</v>
      </c>
      <c r="E45" s="1">
        <v>42767</v>
      </c>
      <c r="F45">
        <v>0</v>
      </c>
      <c r="G45" s="1">
        <v>42821</v>
      </c>
      <c r="H45" s="1">
        <v>42787</v>
      </c>
      <c r="I45" t="s">
        <v>15</v>
      </c>
      <c r="J45">
        <v>950</v>
      </c>
      <c r="K45">
        <v>112.5</v>
      </c>
      <c r="L45">
        <v>837.5</v>
      </c>
      <c r="M45">
        <v>34</v>
      </c>
      <c r="N45" t="s">
        <v>66</v>
      </c>
    </row>
    <row r="46" spans="1:14" x14ac:dyDescent="0.25">
      <c r="A46" t="s">
        <v>64</v>
      </c>
      <c r="B46">
        <v>551</v>
      </c>
      <c r="C46" s="1">
        <v>42821</v>
      </c>
      <c r="D46" t="s">
        <v>69</v>
      </c>
      <c r="E46" s="1">
        <v>42767</v>
      </c>
      <c r="F46">
        <v>0</v>
      </c>
      <c r="G46" s="1">
        <v>42821</v>
      </c>
      <c r="H46" s="1">
        <v>42787</v>
      </c>
      <c r="I46" t="s">
        <v>15</v>
      </c>
      <c r="J46">
        <v>500</v>
      </c>
      <c r="K46">
        <v>59.21</v>
      </c>
      <c r="L46">
        <v>440.79</v>
      </c>
      <c r="M46">
        <v>34</v>
      </c>
      <c r="N46" t="s">
        <v>66</v>
      </c>
    </row>
    <row r="47" spans="1:14" x14ac:dyDescent="0.25">
      <c r="A47" t="s">
        <v>64</v>
      </c>
      <c r="B47">
        <v>552</v>
      </c>
      <c r="C47" s="1">
        <v>42821</v>
      </c>
      <c r="D47" t="s">
        <v>69</v>
      </c>
      <c r="E47" s="1">
        <v>42767</v>
      </c>
      <c r="F47">
        <v>0</v>
      </c>
      <c r="G47" s="1">
        <v>42821</v>
      </c>
      <c r="H47" s="1">
        <v>42787</v>
      </c>
      <c r="I47" t="s">
        <v>15</v>
      </c>
      <c r="J47" s="2">
        <v>2100</v>
      </c>
      <c r="K47">
        <v>248.69</v>
      </c>
      <c r="L47" s="2">
        <v>1851.31</v>
      </c>
      <c r="M47">
        <v>34</v>
      </c>
      <c r="N47" t="s">
        <v>66</v>
      </c>
    </row>
    <row r="48" spans="1:14" x14ac:dyDescent="0.25">
      <c r="A48" t="s">
        <v>64</v>
      </c>
      <c r="B48">
        <v>553</v>
      </c>
      <c r="C48" s="1">
        <v>42821</v>
      </c>
      <c r="D48" t="s">
        <v>69</v>
      </c>
      <c r="E48" s="1">
        <v>42767</v>
      </c>
      <c r="F48">
        <v>0</v>
      </c>
      <c r="G48" s="1">
        <v>42821</v>
      </c>
      <c r="H48" s="1">
        <v>42787</v>
      </c>
      <c r="I48" t="s">
        <v>15</v>
      </c>
      <c r="J48">
        <v>550</v>
      </c>
      <c r="K48">
        <v>65.13</v>
      </c>
      <c r="L48">
        <v>484.87</v>
      </c>
      <c r="M48">
        <v>34</v>
      </c>
      <c r="N48" t="s">
        <v>66</v>
      </c>
    </row>
    <row r="49" spans="1:14" x14ac:dyDescent="0.25">
      <c r="A49" t="s">
        <v>64</v>
      </c>
      <c r="B49">
        <v>554</v>
      </c>
      <c r="C49" s="1">
        <v>42821</v>
      </c>
      <c r="D49" t="s">
        <v>69</v>
      </c>
      <c r="E49" s="1">
        <v>42767</v>
      </c>
      <c r="F49">
        <v>0</v>
      </c>
      <c r="G49" s="1">
        <v>42821</v>
      </c>
      <c r="H49" s="1">
        <v>42787</v>
      </c>
      <c r="I49" t="s">
        <v>15</v>
      </c>
      <c r="J49">
        <v>600</v>
      </c>
      <c r="K49">
        <v>71.05</v>
      </c>
      <c r="L49">
        <v>528.95000000000005</v>
      </c>
      <c r="M49">
        <v>34</v>
      </c>
      <c r="N49" t="s">
        <v>66</v>
      </c>
    </row>
    <row r="50" spans="1:14" x14ac:dyDescent="0.25">
      <c r="A50" t="s">
        <v>64</v>
      </c>
      <c r="B50">
        <v>555</v>
      </c>
      <c r="C50" s="1">
        <v>42821</v>
      </c>
      <c r="D50" t="s">
        <v>69</v>
      </c>
      <c r="E50" s="1">
        <v>42767</v>
      </c>
      <c r="F50">
        <v>0</v>
      </c>
      <c r="G50" s="1">
        <v>42821</v>
      </c>
      <c r="H50" s="1">
        <v>42787</v>
      </c>
      <c r="I50" t="s">
        <v>15</v>
      </c>
      <c r="J50">
        <v>250</v>
      </c>
      <c r="K50">
        <v>29.61</v>
      </c>
      <c r="L50">
        <v>220.39</v>
      </c>
      <c r="M50">
        <v>34</v>
      </c>
      <c r="N50" t="s">
        <v>66</v>
      </c>
    </row>
    <row r="51" spans="1:14" x14ac:dyDescent="0.25">
      <c r="A51" t="s">
        <v>60</v>
      </c>
      <c r="B51">
        <v>1554</v>
      </c>
      <c r="C51" s="1">
        <v>42969</v>
      </c>
      <c r="D51" t="str">
        <f>"2017120001098"</f>
        <v>2017120001098</v>
      </c>
      <c r="E51" s="1">
        <v>42929</v>
      </c>
      <c r="F51">
        <v>0</v>
      </c>
      <c r="G51" s="1">
        <v>42969</v>
      </c>
      <c r="H51" s="1">
        <v>42936</v>
      </c>
      <c r="I51" t="s">
        <v>15</v>
      </c>
      <c r="J51">
        <v>122.6</v>
      </c>
      <c r="K51">
        <v>0</v>
      </c>
      <c r="L51">
        <v>122.6</v>
      </c>
      <c r="M51">
        <v>33</v>
      </c>
      <c r="N51" t="s">
        <v>27</v>
      </c>
    </row>
    <row r="52" spans="1:14" x14ac:dyDescent="0.25">
      <c r="A52" t="s">
        <v>60</v>
      </c>
      <c r="B52">
        <v>1553</v>
      </c>
      <c r="C52" s="1">
        <v>42969</v>
      </c>
      <c r="D52" t="str">
        <f>"2017120001098"</f>
        <v>2017120001098</v>
      </c>
      <c r="E52" s="1">
        <v>42929</v>
      </c>
      <c r="F52">
        <v>0</v>
      </c>
      <c r="G52" s="1">
        <v>42969</v>
      </c>
      <c r="H52" s="1">
        <v>42936</v>
      </c>
      <c r="I52" t="s">
        <v>15</v>
      </c>
      <c r="J52">
        <v>757</v>
      </c>
      <c r="K52">
        <v>0</v>
      </c>
      <c r="L52">
        <v>757</v>
      </c>
      <c r="M52">
        <v>33</v>
      </c>
      <c r="N52" t="s">
        <v>27</v>
      </c>
    </row>
    <row r="53" spans="1:14" x14ac:dyDescent="0.25">
      <c r="A53" t="s">
        <v>60</v>
      </c>
      <c r="B53">
        <v>1552</v>
      </c>
      <c r="C53" s="1">
        <v>42969</v>
      </c>
      <c r="D53" t="str">
        <f>"2017140001324"</f>
        <v>2017140001324</v>
      </c>
      <c r="E53" s="1">
        <v>42928</v>
      </c>
      <c r="F53">
        <v>0</v>
      </c>
      <c r="G53" s="1">
        <v>42969</v>
      </c>
      <c r="H53" s="1">
        <v>42936</v>
      </c>
      <c r="I53" t="s">
        <v>15</v>
      </c>
      <c r="J53" s="2">
        <v>1393.36</v>
      </c>
      <c r="K53">
        <v>0</v>
      </c>
      <c r="L53" s="2">
        <v>1393.36</v>
      </c>
      <c r="M53">
        <v>33</v>
      </c>
      <c r="N53" t="s">
        <v>27</v>
      </c>
    </row>
    <row r="54" spans="1:14" x14ac:dyDescent="0.25">
      <c r="A54" t="s">
        <v>70</v>
      </c>
      <c r="B54">
        <v>1728</v>
      </c>
      <c r="C54" s="1">
        <v>43005</v>
      </c>
      <c r="D54" t="s">
        <v>71</v>
      </c>
      <c r="E54" s="1">
        <v>42941</v>
      </c>
      <c r="F54">
        <v>0</v>
      </c>
      <c r="G54" s="1">
        <v>43010</v>
      </c>
      <c r="H54" s="1">
        <v>42977</v>
      </c>
      <c r="I54" t="s">
        <v>15</v>
      </c>
      <c r="J54" s="2">
        <v>3000</v>
      </c>
      <c r="K54">
        <v>540.98</v>
      </c>
      <c r="L54" s="2">
        <v>2459.02</v>
      </c>
      <c r="M54">
        <v>33</v>
      </c>
      <c r="N54" t="s">
        <v>72</v>
      </c>
    </row>
    <row r="55" spans="1:14" x14ac:dyDescent="0.25">
      <c r="A55" t="s">
        <v>70</v>
      </c>
      <c r="B55">
        <v>1727</v>
      </c>
      <c r="C55" s="1">
        <v>43005</v>
      </c>
      <c r="D55" t="s">
        <v>71</v>
      </c>
      <c r="E55" s="1">
        <v>42941</v>
      </c>
      <c r="F55">
        <v>0</v>
      </c>
      <c r="G55" s="1">
        <v>43010</v>
      </c>
      <c r="H55" s="1">
        <v>42977</v>
      </c>
      <c r="I55" t="s">
        <v>15</v>
      </c>
      <c r="J55">
        <v>8.8000000000000007</v>
      </c>
      <c r="K55">
        <v>1.59</v>
      </c>
      <c r="L55">
        <v>7.21</v>
      </c>
      <c r="M55">
        <v>33</v>
      </c>
      <c r="N55" t="s">
        <v>72</v>
      </c>
    </row>
    <row r="56" spans="1:14" x14ac:dyDescent="0.25">
      <c r="A56" t="s">
        <v>70</v>
      </c>
      <c r="B56">
        <v>1730</v>
      </c>
      <c r="C56" s="1">
        <v>43005</v>
      </c>
      <c r="D56" t="s">
        <v>71</v>
      </c>
      <c r="E56" s="1">
        <v>42941</v>
      </c>
      <c r="F56">
        <v>0</v>
      </c>
      <c r="G56" s="1">
        <v>43010</v>
      </c>
      <c r="H56" s="1">
        <v>42977</v>
      </c>
      <c r="I56" t="s">
        <v>15</v>
      </c>
      <c r="J56">
        <v>950.7</v>
      </c>
      <c r="K56">
        <v>171.44</v>
      </c>
      <c r="L56">
        <v>779.26</v>
      </c>
      <c r="M56">
        <v>33</v>
      </c>
      <c r="N56" t="s">
        <v>72</v>
      </c>
    </row>
    <row r="57" spans="1:14" x14ac:dyDescent="0.25">
      <c r="A57" t="s">
        <v>70</v>
      </c>
      <c r="B57">
        <v>1729</v>
      </c>
      <c r="C57" s="1">
        <v>43005</v>
      </c>
      <c r="D57" t="s">
        <v>71</v>
      </c>
      <c r="E57" s="1">
        <v>42941</v>
      </c>
      <c r="F57">
        <v>0</v>
      </c>
      <c r="G57" s="1">
        <v>43010</v>
      </c>
      <c r="H57" s="1">
        <v>42977</v>
      </c>
      <c r="I57" t="s">
        <v>15</v>
      </c>
      <c r="J57" s="2">
        <v>1500</v>
      </c>
      <c r="K57">
        <v>270.49</v>
      </c>
      <c r="L57" s="2">
        <v>1229.51</v>
      </c>
      <c r="M57">
        <v>33</v>
      </c>
      <c r="N57" t="s">
        <v>72</v>
      </c>
    </row>
    <row r="58" spans="1:14" x14ac:dyDescent="0.25">
      <c r="A58" t="s">
        <v>73</v>
      </c>
      <c r="B58">
        <v>1753</v>
      </c>
      <c r="C58" s="1">
        <v>43007</v>
      </c>
      <c r="D58" t="str">
        <f>"0002124437"</f>
        <v>0002124437</v>
      </c>
      <c r="E58" s="1">
        <v>42916</v>
      </c>
      <c r="F58">
        <v>0</v>
      </c>
      <c r="G58" s="1">
        <v>43010</v>
      </c>
      <c r="H58" s="1">
        <v>42977</v>
      </c>
      <c r="I58" t="s">
        <v>15</v>
      </c>
      <c r="J58">
        <v>122</v>
      </c>
      <c r="K58">
        <v>22</v>
      </c>
      <c r="L58">
        <v>100</v>
      </c>
      <c r="M58">
        <v>33</v>
      </c>
      <c r="N58" t="s">
        <v>27</v>
      </c>
    </row>
    <row r="59" spans="1:14" x14ac:dyDescent="0.25">
      <c r="A59" t="s">
        <v>73</v>
      </c>
      <c r="B59">
        <v>1754</v>
      </c>
      <c r="C59" s="1">
        <v>43007</v>
      </c>
      <c r="D59" t="str">
        <f>"0002124436"</f>
        <v>0002124436</v>
      </c>
      <c r="E59" s="1">
        <v>42916</v>
      </c>
      <c r="F59">
        <v>0</v>
      </c>
      <c r="G59" s="1">
        <v>43010</v>
      </c>
      <c r="H59" s="1">
        <v>42977</v>
      </c>
      <c r="I59" t="s">
        <v>15</v>
      </c>
      <c r="J59">
        <v>122</v>
      </c>
      <c r="K59">
        <v>22</v>
      </c>
      <c r="L59">
        <v>100</v>
      </c>
      <c r="M59">
        <v>33</v>
      </c>
      <c r="N59" t="s">
        <v>27</v>
      </c>
    </row>
    <row r="60" spans="1:14" x14ac:dyDescent="0.25">
      <c r="A60" t="s">
        <v>19</v>
      </c>
      <c r="B60">
        <v>1731</v>
      </c>
      <c r="C60" s="1">
        <v>43005</v>
      </c>
      <c r="D60" s="3">
        <v>43228</v>
      </c>
      <c r="E60" s="1">
        <v>42978</v>
      </c>
      <c r="F60">
        <v>0</v>
      </c>
      <c r="G60" s="1">
        <v>43010</v>
      </c>
      <c r="H60" s="1">
        <v>42978</v>
      </c>
      <c r="I60" t="s">
        <v>15</v>
      </c>
      <c r="J60">
        <v>35.950000000000003</v>
      </c>
      <c r="K60">
        <v>6.48</v>
      </c>
      <c r="L60">
        <v>29.47</v>
      </c>
      <c r="M60">
        <v>32</v>
      </c>
      <c r="N60" t="s">
        <v>20</v>
      </c>
    </row>
    <row r="61" spans="1:14" x14ac:dyDescent="0.25">
      <c r="A61" t="s">
        <v>74</v>
      </c>
      <c r="B61">
        <v>2120</v>
      </c>
      <c r="C61" s="1">
        <v>43066</v>
      </c>
      <c r="D61" t="str">
        <f>"0074002404"</f>
        <v>0074002404</v>
      </c>
      <c r="E61" s="1">
        <v>43035</v>
      </c>
      <c r="F61">
        <v>0</v>
      </c>
      <c r="G61" s="1">
        <v>43067</v>
      </c>
      <c r="H61" s="1">
        <v>43035</v>
      </c>
      <c r="I61" t="s">
        <v>15</v>
      </c>
      <c r="J61">
        <v>126.79</v>
      </c>
      <c r="K61">
        <v>22.87</v>
      </c>
      <c r="L61">
        <v>103.92</v>
      </c>
      <c r="M61">
        <v>32</v>
      </c>
      <c r="N61" t="s">
        <v>33</v>
      </c>
    </row>
    <row r="62" spans="1:14" x14ac:dyDescent="0.25">
      <c r="A62" t="s">
        <v>53</v>
      </c>
      <c r="B62">
        <v>771</v>
      </c>
      <c r="C62" s="1">
        <v>42849</v>
      </c>
      <c r="D62" t="s">
        <v>75</v>
      </c>
      <c r="E62" s="1">
        <v>42817</v>
      </c>
      <c r="F62">
        <v>0</v>
      </c>
      <c r="G62" s="1">
        <v>42849</v>
      </c>
      <c r="H62" s="1">
        <v>42817</v>
      </c>
      <c r="I62" t="s">
        <v>15</v>
      </c>
      <c r="J62">
        <v>325.8</v>
      </c>
      <c r="K62">
        <v>58.75</v>
      </c>
      <c r="L62">
        <v>267.05</v>
      </c>
      <c r="M62">
        <v>32</v>
      </c>
      <c r="N62" t="s">
        <v>76</v>
      </c>
    </row>
    <row r="63" spans="1:14" x14ac:dyDescent="0.25">
      <c r="A63" t="s">
        <v>53</v>
      </c>
      <c r="B63">
        <v>767</v>
      </c>
      <c r="C63" s="1">
        <v>42849</v>
      </c>
      <c r="D63" t="s">
        <v>75</v>
      </c>
      <c r="E63" s="1">
        <v>42817</v>
      </c>
      <c r="F63">
        <v>0</v>
      </c>
      <c r="G63" s="1">
        <v>42849</v>
      </c>
      <c r="H63" s="1">
        <v>42817</v>
      </c>
      <c r="I63" t="s">
        <v>15</v>
      </c>
      <c r="J63">
        <v>325.8</v>
      </c>
      <c r="K63">
        <v>58.75</v>
      </c>
      <c r="L63">
        <v>267.05</v>
      </c>
      <c r="M63">
        <v>32</v>
      </c>
      <c r="N63" t="s">
        <v>76</v>
      </c>
    </row>
    <row r="64" spans="1:14" x14ac:dyDescent="0.25">
      <c r="A64" t="s">
        <v>53</v>
      </c>
      <c r="B64">
        <v>772</v>
      </c>
      <c r="C64" s="1">
        <v>42849</v>
      </c>
      <c r="D64" t="s">
        <v>75</v>
      </c>
      <c r="E64" s="1">
        <v>42817</v>
      </c>
      <c r="F64">
        <v>0</v>
      </c>
      <c r="G64" s="1">
        <v>42849</v>
      </c>
      <c r="H64" s="1">
        <v>42817</v>
      </c>
      <c r="I64" t="s">
        <v>15</v>
      </c>
      <c r="J64">
        <v>325.8</v>
      </c>
      <c r="K64">
        <v>58.75</v>
      </c>
      <c r="L64">
        <v>267.05</v>
      </c>
      <c r="M64">
        <v>32</v>
      </c>
      <c r="N64" t="s">
        <v>76</v>
      </c>
    </row>
    <row r="65" spans="1:14" x14ac:dyDescent="0.25">
      <c r="A65" t="s">
        <v>53</v>
      </c>
      <c r="B65">
        <v>770</v>
      </c>
      <c r="C65" s="1">
        <v>42849</v>
      </c>
      <c r="D65" t="s">
        <v>75</v>
      </c>
      <c r="E65" s="1">
        <v>42817</v>
      </c>
      <c r="F65">
        <v>0</v>
      </c>
      <c r="G65" s="1">
        <v>42849</v>
      </c>
      <c r="H65" s="1">
        <v>42817</v>
      </c>
      <c r="I65" t="s">
        <v>15</v>
      </c>
      <c r="J65">
        <v>651.6</v>
      </c>
      <c r="K65">
        <v>117.5</v>
      </c>
      <c r="L65">
        <v>534.1</v>
      </c>
      <c r="M65">
        <v>32</v>
      </c>
      <c r="N65" t="s">
        <v>76</v>
      </c>
    </row>
    <row r="66" spans="1:14" x14ac:dyDescent="0.25">
      <c r="A66" t="s">
        <v>53</v>
      </c>
      <c r="B66">
        <v>769</v>
      </c>
      <c r="C66" s="1">
        <v>42849</v>
      </c>
      <c r="D66" t="s">
        <v>75</v>
      </c>
      <c r="E66" s="1">
        <v>42817</v>
      </c>
      <c r="F66">
        <v>0</v>
      </c>
      <c r="G66" s="1">
        <v>42849</v>
      </c>
      <c r="H66" s="1">
        <v>42817</v>
      </c>
      <c r="I66" t="s">
        <v>15</v>
      </c>
      <c r="J66">
        <v>325.8</v>
      </c>
      <c r="K66">
        <v>58.75</v>
      </c>
      <c r="L66">
        <v>267.05</v>
      </c>
      <c r="M66">
        <v>32</v>
      </c>
      <c r="N66" t="s">
        <v>76</v>
      </c>
    </row>
    <row r="67" spans="1:14" x14ac:dyDescent="0.25">
      <c r="A67" t="s">
        <v>53</v>
      </c>
      <c r="B67">
        <v>768</v>
      </c>
      <c r="C67" s="1">
        <v>42849</v>
      </c>
      <c r="D67" t="s">
        <v>75</v>
      </c>
      <c r="E67" s="1">
        <v>42817</v>
      </c>
      <c r="F67">
        <v>0</v>
      </c>
      <c r="G67" s="1">
        <v>42849</v>
      </c>
      <c r="H67" s="1">
        <v>42817</v>
      </c>
      <c r="I67" t="s">
        <v>15</v>
      </c>
      <c r="J67">
        <v>651.6</v>
      </c>
      <c r="K67">
        <v>117.5</v>
      </c>
      <c r="L67">
        <v>534.1</v>
      </c>
      <c r="M67">
        <v>32</v>
      </c>
      <c r="N67" t="s">
        <v>76</v>
      </c>
    </row>
    <row r="68" spans="1:14" x14ac:dyDescent="0.25">
      <c r="A68" t="s">
        <v>53</v>
      </c>
      <c r="B68">
        <v>773</v>
      </c>
      <c r="C68" s="1">
        <v>42849</v>
      </c>
      <c r="D68" t="s">
        <v>75</v>
      </c>
      <c r="E68" s="1">
        <v>42817</v>
      </c>
      <c r="F68">
        <v>0</v>
      </c>
      <c r="G68" s="1">
        <v>42849</v>
      </c>
      <c r="H68" s="1">
        <v>42817</v>
      </c>
      <c r="I68" t="s">
        <v>15</v>
      </c>
      <c r="J68">
        <v>325.8</v>
      </c>
      <c r="K68">
        <v>58.75</v>
      </c>
      <c r="L68">
        <v>267.05</v>
      </c>
      <c r="M68">
        <v>32</v>
      </c>
      <c r="N68" t="s">
        <v>76</v>
      </c>
    </row>
    <row r="69" spans="1:14" x14ac:dyDescent="0.25">
      <c r="A69" t="s">
        <v>53</v>
      </c>
      <c r="B69">
        <v>766</v>
      </c>
      <c r="C69" s="1">
        <v>42849</v>
      </c>
      <c r="D69" t="s">
        <v>75</v>
      </c>
      <c r="E69" s="1">
        <v>42817</v>
      </c>
      <c r="F69">
        <v>0</v>
      </c>
      <c r="G69" s="1">
        <v>42849</v>
      </c>
      <c r="H69" s="1">
        <v>42817</v>
      </c>
      <c r="I69" t="s">
        <v>15</v>
      </c>
      <c r="J69">
        <v>325.81</v>
      </c>
      <c r="K69">
        <v>58.76</v>
      </c>
      <c r="L69">
        <v>267.05</v>
      </c>
      <c r="M69">
        <v>32</v>
      </c>
      <c r="N69" t="s">
        <v>76</v>
      </c>
    </row>
    <row r="70" spans="1:14" x14ac:dyDescent="0.25">
      <c r="A70" t="s">
        <v>46</v>
      </c>
      <c r="B70">
        <v>251</v>
      </c>
      <c r="C70" s="1">
        <v>42776</v>
      </c>
      <c r="D70" t="s">
        <v>77</v>
      </c>
      <c r="E70" s="1">
        <v>42744</v>
      </c>
      <c r="F70">
        <v>0</v>
      </c>
      <c r="G70" s="1">
        <v>42776</v>
      </c>
      <c r="H70" s="1">
        <v>42744</v>
      </c>
      <c r="I70" t="s">
        <v>15</v>
      </c>
      <c r="J70">
        <v>356.58</v>
      </c>
      <c r="K70">
        <v>64.3</v>
      </c>
      <c r="L70">
        <v>292.27999999999997</v>
      </c>
      <c r="M70">
        <v>32</v>
      </c>
      <c r="N70" t="s">
        <v>78</v>
      </c>
    </row>
    <row r="71" spans="1:14" x14ac:dyDescent="0.25">
      <c r="A71" t="s">
        <v>60</v>
      </c>
      <c r="B71">
        <v>2061</v>
      </c>
      <c r="C71" s="1">
        <v>43059</v>
      </c>
      <c r="D71" t="str">
        <f>"2017140002125"</f>
        <v>2017140002125</v>
      </c>
      <c r="E71" s="1">
        <v>43021</v>
      </c>
      <c r="F71">
        <v>0</v>
      </c>
      <c r="G71" s="1">
        <v>43059</v>
      </c>
      <c r="H71" s="1">
        <v>43028</v>
      </c>
      <c r="I71" t="s">
        <v>15</v>
      </c>
      <c r="J71" s="2">
        <v>3576.28</v>
      </c>
      <c r="K71">
        <v>0</v>
      </c>
      <c r="L71" s="2">
        <v>3576.28</v>
      </c>
      <c r="M71">
        <v>31</v>
      </c>
      <c r="N71" t="s">
        <v>27</v>
      </c>
    </row>
    <row r="72" spans="1:14" x14ac:dyDescent="0.25">
      <c r="A72" t="s">
        <v>73</v>
      </c>
      <c r="B72">
        <v>1137</v>
      </c>
      <c r="C72" s="1">
        <v>42913</v>
      </c>
      <c r="D72" t="str">
        <f>"0005954556"</f>
        <v>0005954556</v>
      </c>
      <c r="E72" s="1">
        <v>42823</v>
      </c>
      <c r="F72">
        <v>0</v>
      </c>
      <c r="G72" s="1">
        <v>42914</v>
      </c>
      <c r="H72" s="1">
        <v>42884</v>
      </c>
      <c r="I72" t="s">
        <v>15</v>
      </c>
      <c r="J72">
        <v>88</v>
      </c>
      <c r="K72">
        <v>0</v>
      </c>
      <c r="L72">
        <v>88</v>
      </c>
      <c r="M72">
        <v>30</v>
      </c>
      <c r="N72" t="s">
        <v>27</v>
      </c>
    </row>
    <row r="73" spans="1:14" x14ac:dyDescent="0.25">
      <c r="A73" t="s">
        <v>79</v>
      </c>
      <c r="B73">
        <v>2115</v>
      </c>
      <c r="C73" s="1">
        <v>43066</v>
      </c>
      <c r="D73" t="s">
        <v>80</v>
      </c>
      <c r="E73" s="1">
        <v>43007</v>
      </c>
      <c r="F73">
        <v>0</v>
      </c>
      <c r="G73" s="1">
        <v>43067</v>
      </c>
      <c r="H73" s="1">
        <v>43037</v>
      </c>
      <c r="I73" t="s">
        <v>15</v>
      </c>
      <c r="J73" s="2">
        <v>13420</v>
      </c>
      <c r="K73" s="2">
        <v>2420</v>
      </c>
      <c r="L73" s="2">
        <v>11000</v>
      </c>
      <c r="M73">
        <v>30</v>
      </c>
      <c r="N73" t="s">
        <v>81</v>
      </c>
    </row>
    <row r="74" spans="1:14" x14ac:dyDescent="0.25">
      <c r="A74" t="s">
        <v>53</v>
      </c>
      <c r="B74">
        <v>1928</v>
      </c>
      <c r="C74" s="1">
        <v>43033</v>
      </c>
      <c r="D74" t="s">
        <v>82</v>
      </c>
      <c r="E74" s="1">
        <v>43005</v>
      </c>
      <c r="F74">
        <v>0</v>
      </c>
      <c r="G74" s="1">
        <v>43034</v>
      </c>
      <c r="H74" s="1">
        <v>43005</v>
      </c>
      <c r="I74" t="s">
        <v>15</v>
      </c>
      <c r="J74">
        <v>651.6</v>
      </c>
      <c r="K74">
        <v>117.5</v>
      </c>
      <c r="L74">
        <v>534.1</v>
      </c>
      <c r="M74">
        <v>29</v>
      </c>
      <c r="N74" t="s">
        <v>55</v>
      </c>
    </row>
    <row r="75" spans="1:14" x14ac:dyDescent="0.25">
      <c r="A75" t="s">
        <v>53</v>
      </c>
      <c r="B75">
        <v>1930</v>
      </c>
      <c r="C75" s="1">
        <v>43033</v>
      </c>
      <c r="D75" t="s">
        <v>82</v>
      </c>
      <c r="E75" s="1">
        <v>43005</v>
      </c>
      <c r="F75">
        <v>0</v>
      </c>
      <c r="G75" s="1">
        <v>43034</v>
      </c>
      <c r="H75" s="1">
        <v>43005</v>
      </c>
      <c r="I75" t="s">
        <v>15</v>
      </c>
      <c r="J75">
        <v>325.8</v>
      </c>
      <c r="K75">
        <v>58.75</v>
      </c>
      <c r="L75">
        <v>267.05</v>
      </c>
      <c r="M75">
        <v>29</v>
      </c>
      <c r="N75" t="s">
        <v>55</v>
      </c>
    </row>
    <row r="76" spans="1:14" x14ac:dyDescent="0.25">
      <c r="A76" t="s">
        <v>53</v>
      </c>
      <c r="B76">
        <v>1929</v>
      </c>
      <c r="C76" s="1">
        <v>43033</v>
      </c>
      <c r="D76" t="s">
        <v>82</v>
      </c>
      <c r="E76" s="1">
        <v>43005</v>
      </c>
      <c r="F76">
        <v>0</v>
      </c>
      <c r="G76" s="1">
        <v>43034</v>
      </c>
      <c r="H76" s="1">
        <v>43005</v>
      </c>
      <c r="I76" t="s">
        <v>15</v>
      </c>
      <c r="J76">
        <v>325.8</v>
      </c>
      <c r="K76">
        <v>58.75</v>
      </c>
      <c r="L76">
        <v>267.05</v>
      </c>
      <c r="M76">
        <v>29</v>
      </c>
      <c r="N76" t="s">
        <v>55</v>
      </c>
    </row>
    <row r="77" spans="1:14" x14ac:dyDescent="0.25">
      <c r="A77" t="s">
        <v>53</v>
      </c>
      <c r="B77">
        <v>1931</v>
      </c>
      <c r="C77" s="1">
        <v>43033</v>
      </c>
      <c r="D77" t="s">
        <v>82</v>
      </c>
      <c r="E77" s="1">
        <v>43005</v>
      </c>
      <c r="F77">
        <v>0</v>
      </c>
      <c r="G77" s="1">
        <v>43034</v>
      </c>
      <c r="H77" s="1">
        <v>43005</v>
      </c>
      <c r="I77" t="s">
        <v>15</v>
      </c>
      <c r="J77">
        <v>325.81</v>
      </c>
      <c r="K77">
        <v>58.76</v>
      </c>
      <c r="L77">
        <v>267.05</v>
      </c>
      <c r="M77">
        <v>29</v>
      </c>
      <c r="N77" t="s">
        <v>55</v>
      </c>
    </row>
    <row r="78" spans="1:14" x14ac:dyDescent="0.25">
      <c r="A78" t="s">
        <v>53</v>
      </c>
      <c r="B78">
        <v>1927</v>
      </c>
      <c r="C78" s="1">
        <v>43033</v>
      </c>
      <c r="D78" t="s">
        <v>82</v>
      </c>
      <c r="E78" s="1">
        <v>43005</v>
      </c>
      <c r="F78">
        <v>0</v>
      </c>
      <c r="G78" s="1">
        <v>43034</v>
      </c>
      <c r="H78" s="1">
        <v>43005</v>
      </c>
      <c r="I78" t="s">
        <v>15</v>
      </c>
      <c r="J78">
        <v>325.8</v>
      </c>
      <c r="K78">
        <v>58.75</v>
      </c>
      <c r="L78">
        <v>267.05</v>
      </c>
      <c r="M78">
        <v>29</v>
      </c>
      <c r="N78" t="s">
        <v>55</v>
      </c>
    </row>
    <row r="79" spans="1:14" x14ac:dyDescent="0.25">
      <c r="A79" t="s">
        <v>53</v>
      </c>
      <c r="B79">
        <v>1924</v>
      </c>
      <c r="C79" s="1">
        <v>43033</v>
      </c>
      <c r="D79" t="s">
        <v>82</v>
      </c>
      <c r="E79" s="1">
        <v>43005</v>
      </c>
      <c r="F79">
        <v>0</v>
      </c>
      <c r="G79" s="1">
        <v>43034</v>
      </c>
      <c r="H79" s="1">
        <v>43005</v>
      </c>
      <c r="I79" t="s">
        <v>15</v>
      </c>
      <c r="J79">
        <v>325.8</v>
      </c>
      <c r="K79">
        <v>58.75</v>
      </c>
      <c r="L79">
        <v>267.05</v>
      </c>
      <c r="M79">
        <v>29</v>
      </c>
      <c r="N79" t="s">
        <v>55</v>
      </c>
    </row>
    <row r="80" spans="1:14" x14ac:dyDescent="0.25">
      <c r="A80" t="s">
        <v>53</v>
      </c>
      <c r="B80">
        <v>1926</v>
      </c>
      <c r="C80" s="1">
        <v>43033</v>
      </c>
      <c r="D80" t="s">
        <v>82</v>
      </c>
      <c r="E80" s="1">
        <v>43005</v>
      </c>
      <c r="F80">
        <v>0</v>
      </c>
      <c r="G80" s="1">
        <v>43034</v>
      </c>
      <c r="H80" s="1">
        <v>43005</v>
      </c>
      <c r="I80" t="s">
        <v>15</v>
      </c>
      <c r="J80">
        <v>651.6</v>
      </c>
      <c r="K80">
        <v>117.5</v>
      </c>
      <c r="L80">
        <v>534.1</v>
      </c>
      <c r="M80">
        <v>29</v>
      </c>
      <c r="N80" t="s">
        <v>55</v>
      </c>
    </row>
    <row r="81" spans="1:14" x14ac:dyDescent="0.25">
      <c r="A81" t="s">
        <v>53</v>
      </c>
      <c r="B81">
        <v>1925</v>
      </c>
      <c r="C81" s="1">
        <v>43033</v>
      </c>
      <c r="D81" t="s">
        <v>82</v>
      </c>
      <c r="E81" s="1">
        <v>43005</v>
      </c>
      <c r="F81">
        <v>0</v>
      </c>
      <c r="G81" s="1">
        <v>43034</v>
      </c>
      <c r="H81" s="1">
        <v>43005</v>
      </c>
      <c r="I81" t="s">
        <v>15</v>
      </c>
      <c r="J81">
        <v>325.8</v>
      </c>
      <c r="K81">
        <v>58.75</v>
      </c>
      <c r="L81">
        <v>267.05</v>
      </c>
      <c r="M81">
        <v>29</v>
      </c>
      <c r="N81" t="s">
        <v>55</v>
      </c>
    </row>
    <row r="82" spans="1:14" x14ac:dyDescent="0.25">
      <c r="A82" t="s">
        <v>19</v>
      </c>
      <c r="B82">
        <v>2116</v>
      </c>
      <c r="C82" s="1">
        <v>43066</v>
      </c>
      <c r="D82" s="3">
        <v>43231</v>
      </c>
      <c r="E82" s="1">
        <v>43039</v>
      </c>
      <c r="F82">
        <v>0</v>
      </c>
      <c r="G82" s="1">
        <v>43067</v>
      </c>
      <c r="H82" s="1">
        <v>43039</v>
      </c>
      <c r="I82" t="s">
        <v>15</v>
      </c>
      <c r="J82">
        <v>226.54</v>
      </c>
      <c r="K82">
        <v>40.85</v>
      </c>
      <c r="L82">
        <v>185.69</v>
      </c>
      <c r="M82">
        <v>28</v>
      </c>
      <c r="N82" t="s">
        <v>59</v>
      </c>
    </row>
    <row r="83" spans="1:14" x14ac:dyDescent="0.25">
      <c r="A83" t="s">
        <v>19</v>
      </c>
      <c r="B83">
        <v>1153</v>
      </c>
      <c r="C83" s="1">
        <v>42913</v>
      </c>
      <c r="D83" s="3">
        <v>43225</v>
      </c>
      <c r="E83" s="1">
        <v>42886</v>
      </c>
      <c r="F83">
        <v>0</v>
      </c>
      <c r="G83" s="1">
        <v>42914</v>
      </c>
      <c r="H83" s="1">
        <v>42886</v>
      </c>
      <c r="I83" t="s">
        <v>15</v>
      </c>
      <c r="J83">
        <v>53.94</v>
      </c>
      <c r="K83">
        <v>9.73</v>
      </c>
      <c r="L83">
        <v>44.21</v>
      </c>
      <c r="M83">
        <v>28</v>
      </c>
      <c r="N83" t="s">
        <v>20</v>
      </c>
    </row>
    <row r="84" spans="1:14" x14ac:dyDescent="0.25">
      <c r="A84" t="s">
        <v>83</v>
      </c>
      <c r="B84">
        <v>2138</v>
      </c>
      <c r="C84" s="1">
        <v>43067</v>
      </c>
      <c r="D84" t="s">
        <v>84</v>
      </c>
      <c r="E84" s="1">
        <v>43008</v>
      </c>
      <c r="F84">
        <v>0</v>
      </c>
      <c r="G84" s="1">
        <v>43067</v>
      </c>
      <c r="H84" s="1">
        <v>43039</v>
      </c>
      <c r="I84" t="s">
        <v>15</v>
      </c>
      <c r="J84" s="2">
        <v>9935.07</v>
      </c>
      <c r="K84">
        <v>903.19</v>
      </c>
      <c r="L84" s="2">
        <v>9031.8799999999992</v>
      </c>
      <c r="M84">
        <v>28</v>
      </c>
      <c r="N84" t="s">
        <v>81</v>
      </c>
    </row>
    <row r="85" spans="1:14" x14ac:dyDescent="0.25">
      <c r="A85" t="s">
        <v>83</v>
      </c>
      <c r="B85">
        <v>1182</v>
      </c>
      <c r="C85" s="1">
        <v>42913</v>
      </c>
      <c r="D85" t="s">
        <v>85</v>
      </c>
      <c r="E85" s="1">
        <v>42855</v>
      </c>
      <c r="F85">
        <v>0</v>
      </c>
      <c r="G85" s="1">
        <v>42914</v>
      </c>
      <c r="H85" s="1">
        <v>42886</v>
      </c>
      <c r="I85" t="s">
        <v>15</v>
      </c>
      <c r="J85" s="2">
        <v>9935.07</v>
      </c>
      <c r="K85">
        <v>903.19</v>
      </c>
      <c r="L85" s="2">
        <v>9031.8799999999992</v>
      </c>
      <c r="M85">
        <v>28</v>
      </c>
      <c r="N85" t="s">
        <v>81</v>
      </c>
    </row>
    <row r="86" spans="1:14" x14ac:dyDescent="0.25">
      <c r="A86" t="s">
        <v>83</v>
      </c>
      <c r="B86">
        <v>2138</v>
      </c>
      <c r="C86" s="1">
        <v>43067</v>
      </c>
      <c r="D86" t="s">
        <v>86</v>
      </c>
      <c r="E86" s="1">
        <v>43008</v>
      </c>
      <c r="F86">
        <v>0</v>
      </c>
      <c r="G86" s="1">
        <v>43067</v>
      </c>
      <c r="H86" s="1">
        <v>43039</v>
      </c>
      <c r="I86" t="s">
        <v>15</v>
      </c>
      <c r="J86">
        <v>187</v>
      </c>
      <c r="K86">
        <v>17</v>
      </c>
      <c r="L86">
        <v>170</v>
      </c>
      <c r="M86">
        <v>28</v>
      </c>
      <c r="N86" t="s">
        <v>81</v>
      </c>
    </row>
    <row r="87" spans="1:14" x14ac:dyDescent="0.25">
      <c r="A87" t="s">
        <v>64</v>
      </c>
      <c r="B87">
        <v>1311</v>
      </c>
      <c r="C87" s="1">
        <v>42934</v>
      </c>
      <c r="D87" t="s">
        <v>87</v>
      </c>
      <c r="E87" s="1">
        <v>42886</v>
      </c>
      <c r="F87">
        <v>0</v>
      </c>
      <c r="G87" s="1">
        <v>42934</v>
      </c>
      <c r="H87" s="1">
        <v>42906</v>
      </c>
      <c r="I87" t="s">
        <v>15</v>
      </c>
      <c r="J87">
        <v>0.1</v>
      </c>
      <c r="K87">
        <v>0.02</v>
      </c>
      <c r="L87">
        <v>0.08</v>
      </c>
      <c r="M87">
        <v>28</v>
      </c>
      <c r="N87" t="s">
        <v>66</v>
      </c>
    </row>
    <row r="88" spans="1:14" x14ac:dyDescent="0.25">
      <c r="A88" t="s">
        <v>64</v>
      </c>
      <c r="B88">
        <v>369</v>
      </c>
      <c r="C88" s="1">
        <v>42795</v>
      </c>
      <c r="D88" t="s">
        <v>88</v>
      </c>
      <c r="E88" s="1">
        <v>42744</v>
      </c>
      <c r="F88">
        <v>0</v>
      </c>
      <c r="G88" s="1">
        <v>42795</v>
      </c>
      <c r="H88" s="1">
        <v>42767</v>
      </c>
      <c r="I88" t="s">
        <v>15</v>
      </c>
      <c r="J88" s="2">
        <v>1080</v>
      </c>
      <c r="K88">
        <v>194.75</v>
      </c>
      <c r="L88">
        <v>885.25</v>
      </c>
      <c r="M88">
        <v>28</v>
      </c>
      <c r="N88" t="s">
        <v>89</v>
      </c>
    </row>
    <row r="89" spans="1:14" x14ac:dyDescent="0.25">
      <c r="A89" t="s">
        <v>64</v>
      </c>
      <c r="B89">
        <v>1312</v>
      </c>
      <c r="C89" s="1">
        <v>42934</v>
      </c>
      <c r="D89" t="s">
        <v>90</v>
      </c>
      <c r="E89" s="1">
        <v>42886</v>
      </c>
      <c r="F89">
        <v>0</v>
      </c>
      <c r="G89" s="1">
        <v>42934</v>
      </c>
      <c r="H89" s="1">
        <v>42906</v>
      </c>
      <c r="I89" t="s">
        <v>15</v>
      </c>
      <c r="J89">
        <v>144.84</v>
      </c>
      <c r="K89">
        <v>26.12</v>
      </c>
      <c r="L89">
        <v>118.72</v>
      </c>
      <c r="M89">
        <v>28</v>
      </c>
      <c r="N89" t="s">
        <v>66</v>
      </c>
    </row>
    <row r="90" spans="1:14" x14ac:dyDescent="0.25">
      <c r="A90" t="s">
        <v>64</v>
      </c>
      <c r="B90">
        <v>1315</v>
      </c>
      <c r="C90" s="1">
        <v>42934</v>
      </c>
      <c r="D90" t="s">
        <v>91</v>
      </c>
      <c r="E90" s="1">
        <v>42886</v>
      </c>
      <c r="F90">
        <v>0</v>
      </c>
      <c r="G90" s="1">
        <v>42934</v>
      </c>
      <c r="H90" s="1">
        <v>42906</v>
      </c>
      <c r="I90" t="s">
        <v>15</v>
      </c>
      <c r="J90">
        <v>254.24</v>
      </c>
      <c r="K90">
        <v>45.85</v>
      </c>
      <c r="L90">
        <v>208.39</v>
      </c>
      <c r="M90">
        <v>28</v>
      </c>
      <c r="N90" t="s">
        <v>66</v>
      </c>
    </row>
    <row r="91" spans="1:14" x14ac:dyDescent="0.25">
      <c r="A91" t="s">
        <v>64</v>
      </c>
      <c r="B91">
        <v>1316</v>
      </c>
      <c r="C91" s="1">
        <v>42934</v>
      </c>
      <c r="D91" t="s">
        <v>92</v>
      </c>
      <c r="E91" s="1">
        <v>42886</v>
      </c>
      <c r="F91">
        <v>0</v>
      </c>
      <c r="G91" s="1">
        <v>42934</v>
      </c>
      <c r="H91" s="1">
        <v>42906</v>
      </c>
      <c r="I91" t="s">
        <v>15</v>
      </c>
      <c r="J91">
        <v>551.37</v>
      </c>
      <c r="K91">
        <v>99.43</v>
      </c>
      <c r="L91">
        <v>451.94</v>
      </c>
      <c r="M91">
        <v>28</v>
      </c>
      <c r="N91" t="s">
        <v>66</v>
      </c>
    </row>
    <row r="92" spans="1:14" x14ac:dyDescent="0.25">
      <c r="A92" t="s">
        <v>64</v>
      </c>
      <c r="B92">
        <v>1318</v>
      </c>
      <c r="C92" s="1">
        <v>42934</v>
      </c>
      <c r="D92" t="s">
        <v>93</v>
      </c>
      <c r="E92" s="1">
        <v>42886</v>
      </c>
      <c r="F92">
        <v>0</v>
      </c>
      <c r="G92" s="1">
        <v>42934</v>
      </c>
      <c r="H92" s="1">
        <v>42906</v>
      </c>
      <c r="I92" t="s">
        <v>15</v>
      </c>
      <c r="J92">
        <v>756.72</v>
      </c>
      <c r="K92">
        <v>136.46</v>
      </c>
      <c r="L92">
        <v>620.26</v>
      </c>
      <c r="M92">
        <v>28</v>
      </c>
      <c r="N92" t="s">
        <v>66</v>
      </c>
    </row>
    <row r="93" spans="1:14" x14ac:dyDescent="0.25">
      <c r="A93" t="s">
        <v>64</v>
      </c>
      <c r="B93">
        <v>371</v>
      </c>
      <c r="C93" s="1">
        <v>42795</v>
      </c>
      <c r="D93" t="s">
        <v>88</v>
      </c>
      <c r="E93" s="1">
        <v>42744</v>
      </c>
      <c r="F93">
        <v>0</v>
      </c>
      <c r="G93" s="1">
        <v>42795</v>
      </c>
      <c r="H93" s="1">
        <v>42767</v>
      </c>
      <c r="I93" t="s">
        <v>15</v>
      </c>
      <c r="J93" s="2">
        <v>6002</v>
      </c>
      <c r="K93" s="2">
        <v>1082.33</v>
      </c>
      <c r="L93" s="2">
        <v>4919.67</v>
      </c>
      <c r="M93">
        <v>28</v>
      </c>
      <c r="N93" t="s">
        <v>89</v>
      </c>
    </row>
    <row r="94" spans="1:14" x14ac:dyDescent="0.25">
      <c r="A94" t="s">
        <v>64</v>
      </c>
      <c r="B94">
        <v>1310</v>
      </c>
      <c r="C94" s="1">
        <v>42934</v>
      </c>
      <c r="D94" t="s">
        <v>94</v>
      </c>
      <c r="E94" s="1">
        <v>42886</v>
      </c>
      <c r="F94">
        <v>0</v>
      </c>
      <c r="G94" s="1">
        <v>42934</v>
      </c>
      <c r="H94" s="1">
        <v>42906</v>
      </c>
      <c r="I94" t="s">
        <v>15</v>
      </c>
      <c r="J94">
        <v>104.68</v>
      </c>
      <c r="K94">
        <v>18.88</v>
      </c>
      <c r="L94">
        <v>85.8</v>
      </c>
      <c r="M94">
        <v>28</v>
      </c>
      <c r="N94" t="s">
        <v>66</v>
      </c>
    </row>
    <row r="95" spans="1:14" x14ac:dyDescent="0.25">
      <c r="A95" t="s">
        <v>64</v>
      </c>
      <c r="B95">
        <v>370</v>
      </c>
      <c r="C95" s="1">
        <v>42795</v>
      </c>
      <c r="D95" t="s">
        <v>88</v>
      </c>
      <c r="E95" s="1">
        <v>42744</v>
      </c>
      <c r="F95">
        <v>0</v>
      </c>
      <c r="G95" s="1">
        <v>42795</v>
      </c>
      <c r="H95" s="1">
        <v>42767</v>
      </c>
      <c r="I95" t="s">
        <v>15</v>
      </c>
      <c r="J95" s="2">
        <v>7458.63</v>
      </c>
      <c r="K95" s="2">
        <v>1345</v>
      </c>
      <c r="L95" s="2">
        <v>6113.63</v>
      </c>
      <c r="M95">
        <v>28</v>
      </c>
      <c r="N95" t="s">
        <v>89</v>
      </c>
    </row>
    <row r="96" spans="1:14" x14ac:dyDescent="0.25">
      <c r="A96" t="s">
        <v>64</v>
      </c>
      <c r="B96">
        <v>1314</v>
      </c>
      <c r="C96" s="1">
        <v>42934</v>
      </c>
      <c r="D96" t="s">
        <v>95</v>
      </c>
      <c r="E96" s="1">
        <v>42886</v>
      </c>
      <c r="F96">
        <v>0</v>
      </c>
      <c r="G96" s="1">
        <v>42934</v>
      </c>
      <c r="H96" s="1">
        <v>42906</v>
      </c>
      <c r="I96" t="s">
        <v>15</v>
      </c>
      <c r="J96">
        <v>80.02</v>
      </c>
      <c r="K96">
        <v>14.43</v>
      </c>
      <c r="L96">
        <v>65.59</v>
      </c>
      <c r="M96">
        <v>28</v>
      </c>
      <c r="N96" t="s">
        <v>66</v>
      </c>
    </row>
    <row r="97" spans="1:14" x14ac:dyDescent="0.25">
      <c r="A97" t="s">
        <v>64</v>
      </c>
      <c r="B97">
        <v>1319</v>
      </c>
      <c r="C97" s="1">
        <v>42934</v>
      </c>
      <c r="D97" t="s">
        <v>96</v>
      </c>
      <c r="E97" s="1">
        <v>42886</v>
      </c>
      <c r="F97">
        <v>0</v>
      </c>
      <c r="G97" s="1">
        <v>42934</v>
      </c>
      <c r="H97" s="1">
        <v>42906</v>
      </c>
      <c r="I97" t="s">
        <v>15</v>
      </c>
      <c r="J97">
        <v>0.15</v>
      </c>
      <c r="K97">
        <v>0.03</v>
      </c>
      <c r="L97">
        <v>0.12</v>
      </c>
      <c r="M97">
        <v>28</v>
      </c>
      <c r="N97" t="s">
        <v>66</v>
      </c>
    </row>
    <row r="98" spans="1:14" x14ac:dyDescent="0.25">
      <c r="A98" t="s">
        <v>64</v>
      </c>
      <c r="B98">
        <v>368</v>
      </c>
      <c r="C98" s="1">
        <v>42795</v>
      </c>
      <c r="D98" t="s">
        <v>88</v>
      </c>
      <c r="E98" s="1">
        <v>42744</v>
      </c>
      <c r="F98">
        <v>0</v>
      </c>
      <c r="G98" s="1">
        <v>42795</v>
      </c>
      <c r="H98" s="1">
        <v>42767</v>
      </c>
      <c r="I98" t="s">
        <v>15</v>
      </c>
      <c r="J98" s="2">
        <v>2635</v>
      </c>
      <c r="K98">
        <v>475.16</v>
      </c>
      <c r="L98" s="2">
        <v>2159.84</v>
      </c>
      <c r="M98">
        <v>28</v>
      </c>
      <c r="N98" t="s">
        <v>89</v>
      </c>
    </row>
    <row r="99" spans="1:14" x14ac:dyDescent="0.25">
      <c r="A99" t="s">
        <v>64</v>
      </c>
      <c r="B99">
        <v>1313</v>
      </c>
      <c r="C99" s="1">
        <v>42934</v>
      </c>
      <c r="D99" t="s">
        <v>97</v>
      </c>
      <c r="E99" s="1">
        <v>42886</v>
      </c>
      <c r="F99">
        <v>0</v>
      </c>
      <c r="G99" s="1">
        <v>42934</v>
      </c>
      <c r="H99" s="1">
        <v>42906</v>
      </c>
      <c r="I99" t="s">
        <v>15</v>
      </c>
      <c r="J99">
        <v>0.15</v>
      </c>
      <c r="K99">
        <v>0.03</v>
      </c>
      <c r="L99">
        <v>0.12</v>
      </c>
      <c r="M99">
        <v>28</v>
      </c>
      <c r="N99" t="s">
        <v>66</v>
      </c>
    </row>
    <row r="100" spans="1:14" x14ac:dyDescent="0.25">
      <c r="A100" t="s">
        <v>64</v>
      </c>
      <c r="B100">
        <v>1317</v>
      </c>
      <c r="C100" s="1">
        <v>42934</v>
      </c>
      <c r="D100" t="s">
        <v>98</v>
      </c>
      <c r="E100" s="1">
        <v>42886</v>
      </c>
      <c r="F100">
        <v>0</v>
      </c>
      <c r="G100" s="1">
        <v>42934</v>
      </c>
      <c r="H100" s="1">
        <v>42906</v>
      </c>
      <c r="I100" t="s">
        <v>15</v>
      </c>
      <c r="J100">
        <v>258.82</v>
      </c>
      <c r="K100">
        <v>46.67</v>
      </c>
      <c r="L100">
        <v>212.15</v>
      </c>
      <c r="M100">
        <v>28</v>
      </c>
      <c r="N100" t="s">
        <v>66</v>
      </c>
    </row>
    <row r="101" spans="1:14" x14ac:dyDescent="0.25">
      <c r="A101" t="s">
        <v>64</v>
      </c>
      <c r="B101">
        <v>366</v>
      </c>
      <c r="C101" s="1">
        <v>42795</v>
      </c>
      <c r="D101" t="s">
        <v>88</v>
      </c>
      <c r="E101" s="1">
        <v>42744</v>
      </c>
      <c r="F101">
        <v>0</v>
      </c>
      <c r="G101" s="1">
        <v>42795</v>
      </c>
      <c r="H101" s="1">
        <v>42767</v>
      </c>
      <c r="I101" t="s">
        <v>15</v>
      </c>
      <c r="J101">
        <v>959</v>
      </c>
      <c r="K101">
        <v>172.94</v>
      </c>
      <c r="L101">
        <v>786.06</v>
      </c>
      <c r="M101">
        <v>28</v>
      </c>
      <c r="N101" t="s">
        <v>89</v>
      </c>
    </row>
    <row r="102" spans="1:14" x14ac:dyDescent="0.25">
      <c r="A102" t="s">
        <v>64</v>
      </c>
      <c r="B102">
        <v>367</v>
      </c>
      <c r="C102" s="1">
        <v>42795</v>
      </c>
      <c r="D102" t="s">
        <v>88</v>
      </c>
      <c r="E102" s="1">
        <v>42744</v>
      </c>
      <c r="F102">
        <v>0</v>
      </c>
      <c r="G102" s="1">
        <v>42795</v>
      </c>
      <c r="H102" s="1">
        <v>42767</v>
      </c>
      <c r="I102" t="s">
        <v>15</v>
      </c>
      <c r="J102">
        <v>941</v>
      </c>
      <c r="K102">
        <v>169.69</v>
      </c>
      <c r="L102">
        <v>771.31</v>
      </c>
      <c r="M102">
        <v>28</v>
      </c>
      <c r="N102" t="s">
        <v>89</v>
      </c>
    </row>
    <row r="103" spans="1:14" x14ac:dyDescent="0.25">
      <c r="A103" t="s">
        <v>99</v>
      </c>
      <c r="B103">
        <v>801</v>
      </c>
      <c r="C103" s="1">
        <v>42867</v>
      </c>
      <c r="D103" t="s">
        <v>100</v>
      </c>
      <c r="E103" s="1">
        <v>42814</v>
      </c>
      <c r="F103">
        <v>0</v>
      </c>
      <c r="G103" s="1">
        <v>42873</v>
      </c>
      <c r="H103" s="1">
        <v>42845</v>
      </c>
      <c r="I103" t="s">
        <v>15</v>
      </c>
      <c r="J103" s="2">
        <v>2440</v>
      </c>
      <c r="K103">
        <v>440</v>
      </c>
      <c r="L103" s="2">
        <v>2000</v>
      </c>
      <c r="M103">
        <v>28</v>
      </c>
      <c r="N103" t="s">
        <v>101</v>
      </c>
    </row>
    <row r="104" spans="1:14" x14ac:dyDescent="0.25">
      <c r="A104" t="s">
        <v>102</v>
      </c>
      <c r="B104">
        <v>1149</v>
      </c>
      <c r="C104" s="1">
        <v>42913</v>
      </c>
      <c r="D104" t="s">
        <v>103</v>
      </c>
      <c r="E104" s="1">
        <v>42887</v>
      </c>
      <c r="F104">
        <v>0</v>
      </c>
      <c r="G104" s="1">
        <v>42914</v>
      </c>
      <c r="H104" s="1">
        <v>42887</v>
      </c>
      <c r="I104" t="s">
        <v>15</v>
      </c>
      <c r="J104">
        <v>847.9</v>
      </c>
      <c r="K104">
        <v>152.9</v>
      </c>
      <c r="L104">
        <v>695</v>
      </c>
      <c r="M104">
        <v>27</v>
      </c>
      <c r="N104" t="s">
        <v>101</v>
      </c>
    </row>
    <row r="105" spans="1:14" x14ac:dyDescent="0.25">
      <c r="A105" t="s">
        <v>102</v>
      </c>
      <c r="B105">
        <v>1148</v>
      </c>
      <c r="C105" s="1">
        <v>42913</v>
      </c>
      <c r="D105" t="s">
        <v>104</v>
      </c>
      <c r="E105" s="1">
        <v>42887</v>
      </c>
      <c r="F105">
        <v>0</v>
      </c>
      <c r="G105" s="1">
        <v>42914</v>
      </c>
      <c r="H105" s="1">
        <v>42887</v>
      </c>
      <c r="I105" t="s">
        <v>15</v>
      </c>
      <c r="J105">
        <v>579.5</v>
      </c>
      <c r="K105">
        <v>104.5</v>
      </c>
      <c r="L105">
        <v>475</v>
      </c>
      <c r="M105">
        <v>27</v>
      </c>
      <c r="N105" t="s">
        <v>101</v>
      </c>
    </row>
    <row r="106" spans="1:14" x14ac:dyDescent="0.25">
      <c r="A106" t="s">
        <v>102</v>
      </c>
      <c r="B106">
        <v>1147</v>
      </c>
      <c r="C106" s="1">
        <v>42913</v>
      </c>
      <c r="D106" t="s">
        <v>105</v>
      </c>
      <c r="E106" s="1">
        <v>42887</v>
      </c>
      <c r="F106">
        <v>0</v>
      </c>
      <c r="G106" s="1">
        <v>42914</v>
      </c>
      <c r="H106" s="1">
        <v>42887</v>
      </c>
      <c r="I106" t="s">
        <v>15</v>
      </c>
      <c r="J106">
        <v>579.5</v>
      </c>
      <c r="K106">
        <v>104.5</v>
      </c>
      <c r="L106">
        <v>475</v>
      </c>
      <c r="M106">
        <v>27</v>
      </c>
      <c r="N106" t="s">
        <v>101</v>
      </c>
    </row>
    <row r="107" spans="1:14" x14ac:dyDescent="0.25">
      <c r="A107" t="s">
        <v>102</v>
      </c>
      <c r="B107">
        <v>1146</v>
      </c>
      <c r="C107" s="1">
        <v>42913</v>
      </c>
      <c r="D107" t="s">
        <v>106</v>
      </c>
      <c r="E107" s="1">
        <v>42887</v>
      </c>
      <c r="F107">
        <v>0</v>
      </c>
      <c r="G107" s="1">
        <v>42914</v>
      </c>
      <c r="H107" s="1">
        <v>42887</v>
      </c>
      <c r="I107" t="s">
        <v>15</v>
      </c>
      <c r="J107" s="2">
        <v>1695.8</v>
      </c>
      <c r="K107">
        <v>305.8</v>
      </c>
      <c r="L107" s="2">
        <v>1390</v>
      </c>
      <c r="M107">
        <v>27</v>
      </c>
      <c r="N107" t="s">
        <v>101</v>
      </c>
    </row>
    <row r="108" spans="1:14" x14ac:dyDescent="0.25">
      <c r="A108" t="s">
        <v>64</v>
      </c>
      <c r="B108">
        <v>544</v>
      </c>
      <c r="C108" s="1">
        <v>42821</v>
      </c>
      <c r="D108" t="s">
        <v>107</v>
      </c>
      <c r="E108" s="1">
        <v>42774</v>
      </c>
      <c r="F108">
        <v>0</v>
      </c>
      <c r="G108" s="1">
        <v>42821</v>
      </c>
      <c r="H108" s="1">
        <v>42794</v>
      </c>
      <c r="I108" t="s">
        <v>15</v>
      </c>
      <c r="J108" s="2">
        <v>3590</v>
      </c>
      <c r="K108">
        <v>647.38</v>
      </c>
      <c r="L108" s="2">
        <v>2942.62</v>
      </c>
      <c r="M108">
        <v>27</v>
      </c>
      <c r="N108" t="s">
        <v>16</v>
      </c>
    </row>
    <row r="109" spans="1:14" x14ac:dyDescent="0.25">
      <c r="A109" t="s">
        <v>19</v>
      </c>
      <c r="B109">
        <v>1940</v>
      </c>
      <c r="C109" s="1">
        <v>43033</v>
      </c>
      <c r="D109" s="3">
        <v>43230</v>
      </c>
      <c r="E109" s="1">
        <v>43008</v>
      </c>
      <c r="F109">
        <v>0</v>
      </c>
      <c r="G109" s="1">
        <v>43034</v>
      </c>
      <c r="H109" s="1">
        <v>43008</v>
      </c>
      <c r="I109" t="s">
        <v>15</v>
      </c>
      <c r="J109" s="2">
        <v>1830</v>
      </c>
      <c r="K109">
        <v>330</v>
      </c>
      <c r="L109" s="2">
        <v>1500</v>
      </c>
      <c r="M109">
        <v>26</v>
      </c>
      <c r="N109" t="s">
        <v>59</v>
      </c>
    </row>
    <row r="110" spans="1:14" x14ac:dyDescent="0.25">
      <c r="A110" t="s">
        <v>19</v>
      </c>
      <c r="B110">
        <v>1938</v>
      </c>
      <c r="C110" s="1">
        <v>43033</v>
      </c>
      <c r="D110" s="3">
        <v>43229</v>
      </c>
      <c r="E110" s="1">
        <v>43008</v>
      </c>
      <c r="F110">
        <v>0</v>
      </c>
      <c r="G110" s="1">
        <v>43034</v>
      </c>
      <c r="H110" s="1">
        <v>43008</v>
      </c>
      <c r="I110" t="s">
        <v>15</v>
      </c>
      <c r="J110">
        <v>78.2</v>
      </c>
      <c r="K110">
        <v>14.1</v>
      </c>
      <c r="L110">
        <v>64.099999999999994</v>
      </c>
      <c r="M110">
        <v>26</v>
      </c>
      <c r="N110" t="s">
        <v>20</v>
      </c>
    </row>
    <row r="111" spans="1:14" x14ac:dyDescent="0.25">
      <c r="A111" t="s">
        <v>19</v>
      </c>
      <c r="B111">
        <v>1939</v>
      </c>
      <c r="C111" s="1">
        <v>43033</v>
      </c>
      <c r="D111" s="3">
        <v>43230</v>
      </c>
      <c r="E111" s="1">
        <v>43008</v>
      </c>
      <c r="F111">
        <v>0</v>
      </c>
      <c r="G111" s="1">
        <v>43034</v>
      </c>
      <c r="H111" s="1">
        <v>43008</v>
      </c>
      <c r="I111" t="s">
        <v>15</v>
      </c>
      <c r="J111">
        <v>11.16</v>
      </c>
      <c r="K111">
        <v>2.0099999999999998</v>
      </c>
      <c r="L111">
        <v>9.15</v>
      </c>
      <c r="M111">
        <v>26</v>
      </c>
      <c r="N111" t="s">
        <v>59</v>
      </c>
    </row>
    <row r="112" spans="1:14" x14ac:dyDescent="0.25">
      <c r="A112" t="s">
        <v>19</v>
      </c>
      <c r="B112">
        <v>1580</v>
      </c>
      <c r="C112" s="1">
        <v>42972</v>
      </c>
      <c r="D112" s="3">
        <v>43227</v>
      </c>
      <c r="E112" s="1">
        <v>42947</v>
      </c>
      <c r="F112">
        <v>0</v>
      </c>
      <c r="G112" s="1">
        <v>42972</v>
      </c>
      <c r="H112" s="1">
        <v>42947</v>
      </c>
      <c r="I112" t="s">
        <v>15</v>
      </c>
      <c r="J112">
        <v>217.77</v>
      </c>
      <c r="K112">
        <v>39.270000000000003</v>
      </c>
      <c r="L112">
        <v>178.5</v>
      </c>
      <c r="M112">
        <v>25</v>
      </c>
      <c r="N112" t="s">
        <v>20</v>
      </c>
    </row>
    <row r="113" spans="1:14" x14ac:dyDescent="0.25">
      <c r="A113" t="s">
        <v>37</v>
      </c>
      <c r="B113">
        <v>1581</v>
      </c>
      <c r="C113" s="1">
        <v>42972</v>
      </c>
      <c r="D113" t="s">
        <v>108</v>
      </c>
      <c r="E113" s="1">
        <v>42916</v>
      </c>
      <c r="F113">
        <v>0</v>
      </c>
      <c r="G113" s="1">
        <v>42972</v>
      </c>
      <c r="H113" s="1">
        <v>42947</v>
      </c>
      <c r="I113" t="s">
        <v>15</v>
      </c>
      <c r="J113">
        <v>55.36</v>
      </c>
      <c r="K113">
        <v>5.03</v>
      </c>
      <c r="L113">
        <v>50.33</v>
      </c>
      <c r="M113">
        <v>25</v>
      </c>
      <c r="N113" t="s">
        <v>39</v>
      </c>
    </row>
    <row r="114" spans="1:14" x14ac:dyDescent="0.25">
      <c r="A114" t="s">
        <v>64</v>
      </c>
      <c r="B114">
        <v>1906</v>
      </c>
      <c r="C114" s="1">
        <v>43033</v>
      </c>
      <c r="D114" t="s">
        <v>109</v>
      </c>
      <c r="E114" s="1">
        <v>42990</v>
      </c>
      <c r="F114">
        <v>0</v>
      </c>
      <c r="G114" s="1">
        <v>43034</v>
      </c>
      <c r="H114" s="1">
        <v>43010</v>
      </c>
      <c r="I114" t="s">
        <v>15</v>
      </c>
      <c r="J114" s="2">
        <v>4213.21</v>
      </c>
      <c r="K114">
        <v>759.76</v>
      </c>
      <c r="L114" s="2">
        <v>3453.45</v>
      </c>
      <c r="M114">
        <v>24</v>
      </c>
      <c r="N114" t="s">
        <v>66</v>
      </c>
    </row>
    <row r="115" spans="1:14" x14ac:dyDescent="0.25">
      <c r="A115" t="s">
        <v>53</v>
      </c>
      <c r="B115">
        <v>762</v>
      </c>
      <c r="C115" s="1">
        <v>42849</v>
      </c>
      <c r="D115" t="s">
        <v>110</v>
      </c>
      <c r="E115" s="1">
        <v>42825</v>
      </c>
      <c r="F115">
        <v>0</v>
      </c>
      <c r="G115" s="1">
        <v>42849</v>
      </c>
      <c r="H115" s="1">
        <v>42825</v>
      </c>
      <c r="I115" t="s">
        <v>15</v>
      </c>
      <c r="J115" s="2">
        <v>1903.2</v>
      </c>
      <c r="K115">
        <v>343.2</v>
      </c>
      <c r="L115" s="2">
        <v>1560</v>
      </c>
      <c r="M115">
        <v>24</v>
      </c>
      <c r="N115" t="s">
        <v>55</v>
      </c>
    </row>
    <row r="116" spans="1:14" x14ac:dyDescent="0.25">
      <c r="A116" t="s">
        <v>53</v>
      </c>
      <c r="B116">
        <v>763</v>
      </c>
      <c r="C116" s="1">
        <v>42849</v>
      </c>
      <c r="D116" t="s">
        <v>111</v>
      </c>
      <c r="E116" s="1">
        <v>42825</v>
      </c>
      <c r="F116">
        <v>0</v>
      </c>
      <c r="G116" s="1">
        <v>42849</v>
      </c>
      <c r="H116" s="1">
        <v>42825</v>
      </c>
      <c r="I116" t="s">
        <v>15</v>
      </c>
      <c r="J116" s="2">
        <v>2928</v>
      </c>
      <c r="K116">
        <v>528</v>
      </c>
      <c r="L116" s="2">
        <v>2400</v>
      </c>
      <c r="M116">
        <v>24</v>
      </c>
      <c r="N116" t="s">
        <v>55</v>
      </c>
    </row>
    <row r="117" spans="1:14" x14ac:dyDescent="0.25">
      <c r="A117" t="s">
        <v>112</v>
      </c>
      <c r="B117">
        <v>991</v>
      </c>
      <c r="C117" s="1">
        <v>42895</v>
      </c>
      <c r="D117" t="s">
        <v>113</v>
      </c>
      <c r="E117" s="1">
        <v>42871</v>
      </c>
      <c r="F117">
        <v>0</v>
      </c>
      <c r="G117" s="1">
        <v>42895</v>
      </c>
      <c r="H117" s="1">
        <v>42871</v>
      </c>
      <c r="I117" t="s">
        <v>15</v>
      </c>
      <c r="J117">
        <v>500</v>
      </c>
      <c r="K117">
        <v>0</v>
      </c>
      <c r="L117">
        <v>500</v>
      </c>
      <c r="M117">
        <v>24</v>
      </c>
      <c r="N117" t="s">
        <v>52</v>
      </c>
    </row>
    <row r="118" spans="1:14" x14ac:dyDescent="0.25">
      <c r="A118" t="s">
        <v>64</v>
      </c>
      <c r="B118">
        <v>352</v>
      </c>
      <c r="C118" s="1">
        <v>42790</v>
      </c>
      <c r="D118" t="s">
        <v>114</v>
      </c>
      <c r="E118" s="1">
        <v>42744</v>
      </c>
      <c r="F118">
        <v>0</v>
      </c>
      <c r="G118" s="1">
        <v>42790</v>
      </c>
      <c r="H118" s="1">
        <v>42767</v>
      </c>
      <c r="I118" t="s">
        <v>15</v>
      </c>
      <c r="J118">
        <v>314.25</v>
      </c>
      <c r="K118">
        <v>56.67</v>
      </c>
      <c r="L118">
        <v>257.58</v>
      </c>
      <c r="M118">
        <v>23</v>
      </c>
      <c r="N118" t="s">
        <v>89</v>
      </c>
    </row>
    <row r="119" spans="1:14" x14ac:dyDescent="0.25">
      <c r="A119" t="s">
        <v>64</v>
      </c>
      <c r="B119">
        <v>345</v>
      </c>
      <c r="C119" s="1">
        <v>42790</v>
      </c>
      <c r="D119" t="s">
        <v>115</v>
      </c>
      <c r="E119" s="1">
        <v>42744</v>
      </c>
      <c r="F119">
        <v>0</v>
      </c>
      <c r="G119" s="1">
        <v>42790</v>
      </c>
      <c r="H119" s="1">
        <v>42767</v>
      </c>
      <c r="I119" t="s">
        <v>15</v>
      </c>
      <c r="J119">
        <v>224</v>
      </c>
      <c r="K119">
        <v>27.48</v>
      </c>
      <c r="L119">
        <v>196.52</v>
      </c>
      <c r="M119">
        <v>23</v>
      </c>
      <c r="N119" t="s">
        <v>89</v>
      </c>
    </row>
    <row r="120" spans="1:14" x14ac:dyDescent="0.25">
      <c r="A120" t="s">
        <v>64</v>
      </c>
      <c r="B120">
        <v>346</v>
      </c>
      <c r="C120" s="1">
        <v>42790</v>
      </c>
      <c r="D120" t="s">
        <v>115</v>
      </c>
      <c r="E120" s="1">
        <v>42744</v>
      </c>
      <c r="F120">
        <v>0</v>
      </c>
      <c r="G120" s="1">
        <v>42790</v>
      </c>
      <c r="H120" s="1">
        <v>42767</v>
      </c>
      <c r="I120" t="s">
        <v>15</v>
      </c>
      <c r="J120" s="2">
        <v>1087</v>
      </c>
      <c r="K120">
        <v>133.38</v>
      </c>
      <c r="L120">
        <v>953.62</v>
      </c>
      <c r="M120">
        <v>23</v>
      </c>
      <c r="N120" t="s">
        <v>89</v>
      </c>
    </row>
    <row r="121" spans="1:14" x14ac:dyDescent="0.25">
      <c r="A121" t="s">
        <v>64</v>
      </c>
      <c r="B121">
        <v>348</v>
      </c>
      <c r="C121" s="1">
        <v>42790</v>
      </c>
      <c r="D121" t="s">
        <v>115</v>
      </c>
      <c r="E121" s="1">
        <v>42744</v>
      </c>
      <c r="F121">
        <v>0</v>
      </c>
      <c r="G121" s="1">
        <v>42790</v>
      </c>
      <c r="H121" s="1">
        <v>42767</v>
      </c>
      <c r="I121" t="s">
        <v>15</v>
      </c>
      <c r="J121" s="2">
        <v>1941</v>
      </c>
      <c r="K121">
        <v>238.16</v>
      </c>
      <c r="L121" s="2">
        <v>1702.84</v>
      </c>
      <c r="M121">
        <v>23</v>
      </c>
      <c r="N121" t="s">
        <v>89</v>
      </c>
    </row>
    <row r="122" spans="1:14" x14ac:dyDescent="0.25">
      <c r="A122" t="s">
        <v>64</v>
      </c>
      <c r="B122">
        <v>350</v>
      </c>
      <c r="C122" s="1">
        <v>42790</v>
      </c>
      <c r="D122" t="s">
        <v>116</v>
      </c>
      <c r="E122" s="1">
        <v>42744</v>
      </c>
      <c r="F122">
        <v>0</v>
      </c>
      <c r="G122" s="1">
        <v>42790</v>
      </c>
      <c r="H122" s="1">
        <v>42767</v>
      </c>
      <c r="I122" t="s">
        <v>15</v>
      </c>
      <c r="J122">
        <v>136.47</v>
      </c>
      <c r="K122">
        <v>24.61</v>
      </c>
      <c r="L122">
        <v>111.86</v>
      </c>
      <c r="M122">
        <v>23</v>
      </c>
      <c r="N122" t="s">
        <v>89</v>
      </c>
    </row>
    <row r="123" spans="1:14" x14ac:dyDescent="0.25">
      <c r="A123" t="s">
        <v>64</v>
      </c>
      <c r="B123">
        <v>349</v>
      </c>
      <c r="C123" s="1">
        <v>42790</v>
      </c>
      <c r="D123" t="s">
        <v>115</v>
      </c>
      <c r="E123" s="1">
        <v>42744</v>
      </c>
      <c r="F123">
        <v>0</v>
      </c>
      <c r="G123" s="1">
        <v>42790</v>
      </c>
      <c r="H123" s="1">
        <v>42767</v>
      </c>
      <c r="I123" t="s">
        <v>15</v>
      </c>
      <c r="J123" s="2">
        <v>1262.43</v>
      </c>
      <c r="K123">
        <v>154.9</v>
      </c>
      <c r="L123" s="2">
        <v>1107.53</v>
      </c>
      <c r="M123">
        <v>23</v>
      </c>
      <c r="N123" t="s">
        <v>89</v>
      </c>
    </row>
    <row r="124" spans="1:14" x14ac:dyDescent="0.25">
      <c r="A124" t="s">
        <v>64</v>
      </c>
      <c r="B124">
        <v>351</v>
      </c>
      <c r="C124" s="1">
        <v>42790</v>
      </c>
      <c r="D124" t="s">
        <v>117</v>
      </c>
      <c r="E124" s="1">
        <v>42744</v>
      </c>
      <c r="F124">
        <v>0</v>
      </c>
      <c r="G124" s="1">
        <v>42790</v>
      </c>
      <c r="H124" s="1">
        <v>42767</v>
      </c>
      <c r="I124" t="s">
        <v>15</v>
      </c>
      <c r="J124">
        <v>407.99</v>
      </c>
      <c r="K124">
        <v>73.569999999999993</v>
      </c>
      <c r="L124">
        <v>334.42</v>
      </c>
      <c r="M124">
        <v>23</v>
      </c>
      <c r="N124" t="s">
        <v>89</v>
      </c>
    </row>
    <row r="125" spans="1:14" x14ac:dyDescent="0.25">
      <c r="A125" t="s">
        <v>64</v>
      </c>
      <c r="B125">
        <v>347</v>
      </c>
      <c r="C125" s="1">
        <v>42790</v>
      </c>
      <c r="D125" t="s">
        <v>115</v>
      </c>
      <c r="E125" s="1">
        <v>42744</v>
      </c>
      <c r="F125">
        <v>0</v>
      </c>
      <c r="G125" s="1">
        <v>42790</v>
      </c>
      <c r="H125" s="1">
        <v>42767</v>
      </c>
      <c r="I125" t="s">
        <v>15</v>
      </c>
      <c r="J125">
        <v>456</v>
      </c>
      <c r="K125">
        <v>55.95</v>
      </c>
      <c r="L125">
        <v>400.05</v>
      </c>
      <c r="M125">
        <v>23</v>
      </c>
      <c r="N125" t="s">
        <v>89</v>
      </c>
    </row>
    <row r="126" spans="1:14" x14ac:dyDescent="0.25">
      <c r="A126" t="s">
        <v>64</v>
      </c>
      <c r="B126">
        <v>344</v>
      </c>
      <c r="C126" s="1">
        <v>42790</v>
      </c>
      <c r="D126" t="s">
        <v>118</v>
      </c>
      <c r="E126" s="1">
        <v>42744</v>
      </c>
      <c r="F126">
        <v>0</v>
      </c>
      <c r="G126" s="1">
        <v>42790</v>
      </c>
      <c r="H126" s="1">
        <v>42767</v>
      </c>
      <c r="I126" t="s">
        <v>15</v>
      </c>
      <c r="J126">
        <v>824.9</v>
      </c>
      <c r="K126">
        <v>148.75</v>
      </c>
      <c r="L126">
        <v>676.15</v>
      </c>
      <c r="M126">
        <v>23</v>
      </c>
      <c r="N126" t="s">
        <v>89</v>
      </c>
    </row>
    <row r="127" spans="1:14" x14ac:dyDescent="0.25">
      <c r="A127" t="s">
        <v>119</v>
      </c>
      <c r="B127">
        <v>1890</v>
      </c>
      <c r="C127" s="1">
        <v>43033</v>
      </c>
      <c r="D127" t="s">
        <v>120</v>
      </c>
      <c r="E127" s="1">
        <v>42951</v>
      </c>
      <c r="F127">
        <v>0</v>
      </c>
      <c r="G127" s="1">
        <v>43034</v>
      </c>
      <c r="H127" s="1">
        <v>43011</v>
      </c>
      <c r="I127" t="s">
        <v>23</v>
      </c>
      <c r="J127" s="2">
        <v>5503.29</v>
      </c>
      <c r="K127">
        <v>500.3</v>
      </c>
      <c r="L127" s="2">
        <v>5002.99</v>
      </c>
      <c r="M127">
        <v>23</v>
      </c>
      <c r="N127" t="s">
        <v>121</v>
      </c>
    </row>
    <row r="128" spans="1:14" x14ac:dyDescent="0.25">
      <c r="A128" t="s">
        <v>60</v>
      </c>
      <c r="B128">
        <v>799</v>
      </c>
      <c r="C128" s="1">
        <v>42867</v>
      </c>
      <c r="D128" t="str">
        <f>"2017120000459"</f>
        <v>2017120000459</v>
      </c>
      <c r="E128" s="1">
        <v>42836</v>
      </c>
      <c r="F128">
        <v>0</v>
      </c>
      <c r="G128" s="1">
        <v>42867</v>
      </c>
      <c r="H128" s="1">
        <v>42845</v>
      </c>
      <c r="I128" t="s">
        <v>15</v>
      </c>
      <c r="J128" s="2">
        <v>10183.31</v>
      </c>
      <c r="K128">
        <v>0</v>
      </c>
      <c r="L128" s="2">
        <v>10183.31</v>
      </c>
      <c r="M128">
        <v>22</v>
      </c>
      <c r="N128" t="s">
        <v>27</v>
      </c>
    </row>
    <row r="129" spans="1:14" x14ac:dyDescent="0.25">
      <c r="A129" t="s">
        <v>60</v>
      </c>
      <c r="B129">
        <v>799</v>
      </c>
      <c r="C129" s="1">
        <v>42867</v>
      </c>
      <c r="D129" t="str">
        <f>"2017120000459"</f>
        <v>2017120000459</v>
      </c>
      <c r="E129" s="1">
        <v>42836</v>
      </c>
      <c r="F129">
        <v>0</v>
      </c>
      <c r="G129" s="1">
        <v>42867</v>
      </c>
      <c r="H129" s="1">
        <v>42845</v>
      </c>
      <c r="I129" t="s">
        <v>15</v>
      </c>
      <c r="J129">
        <v>37.799999999999997</v>
      </c>
      <c r="K129">
        <v>0</v>
      </c>
      <c r="L129">
        <v>37.799999999999997</v>
      </c>
      <c r="M129">
        <v>22</v>
      </c>
      <c r="N129" t="s">
        <v>27</v>
      </c>
    </row>
    <row r="130" spans="1:14" x14ac:dyDescent="0.25">
      <c r="A130" t="s">
        <v>60</v>
      </c>
      <c r="B130">
        <v>800</v>
      </c>
      <c r="C130" s="1">
        <v>42867</v>
      </c>
      <c r="D130" t="str">
        <f>"2017140000608"</f>
        <v>2017140000608</v>
      </c>
      <c r="E130" s="1">
        <v>42837</v>
      </c>
      <c r="F130">
        <v>0</v>
      </c>
      <c r="G130" s="1">
        <v>42867</v>
      </c>
      <c r="H130" s="1">
        <v>42845</v>
      </c>
      <c r="I130" t="s">
        <v>15</v>
      </c>
      <c r="J130" s="2">
        <v>3960.12</v>
      </c>
      <c r="K130">
        <v>0</v>
      </c>
      <c r="L130" s="2">
        <v>3960.12</v>
      </c>
      <c r="M130">
        <v>22</v>
      </c>
      <c r="N130" t="s">
        <v>27</v>
      </c>
    </row>
    <row r="131" spans="1:14" x14ac:dyDescent="0.25">
      <c r="A131" t="s">
        <v>42</v>
      </c>
      <c r="B131">
        <v>750</v>
      </c>
      <c r="C131" s="1">
        <v>42846</v>
      </c>
      <c r="D131" t="s">
        <v>122</v>
      </c>
      <c r="E131" s="1">
        <v>42794</v>
      </c>
      <c r="F131">
        <v>0</v>
      </c>
      <c r="G131" s="1">
        <v>42846</v>
      </c>
      <c r="H131" s="1">
        <v>42824</v>
      </c>
      <c r="I131" t="s">
        <v>15</v>
      </c>
      <c r="J131" s="2">
        <v>1428</v>
      </c>
      <c r="K131">
        <v>0</v>
      </c>
      <c r="L131" s="2">
        <v>1428</v>
      </c>
      <c r="M131">
        <v>22</v>
      </c>
      <c r="N131" t="s">
        <v>44</v>
      </c>
    </row>
    <row r="132" spans="1:14" x14ac:dyDescent="0.25">
      <c r="A132" t="s">
        <v>19</v>
      </c>
      <c r="B132">
        <v>736</v>
      </c>
      <c r="C132" s="1">
        <v>42845</v>
      </c>
      <c r="D132" s="3">
        <v>43223</v>
      </c>
      <c r="E132" s="1">
        <v>42825</v>
      </c>
      <c r="F132">
        <v>0</v>
      </c>
      <c r="G132" s="1">
        <v>42846</v>
      </c>
      <c r="H132" s="1">
        <v>42825</v>
      </c>
      <c r="I132" t="s">
        <v>15</v>
      </c>
      <c r="J132">
        <v>296.86</v>
      </c>
      <c r="K132">
        <v>53.53</v>
      </c>
      <c r="L132">
        <v>243.33</v>
      </c>
      <c r="M132">
        <v>21</v>
      </c>
      <c r="N132" t="s">
        <v>20</v>
      </c>
    </row>
    <row r="133" spans="1:14" x14ac:dyDescent="0.25">
      <c r="A133" t="s">
        <v>19</v>
      </c>
      <c r="B133">
        <v>737</v>
      </c>
      <c r="C133" s="1">
        <v>42845</v>
      </c>
      <c r="D133" s="3">
        <v>43223</v>
      </c>
      <c r="E133" s="1">
        <v>42825</v>
      </c>
      <c r="F133">
        <v>0</v>
      </c>
      <c r="G133" s="1">
        <v>42846</v>
      </c>
      <c r="H133" s="1">
        <v>42825</v>
      </c>
      <c r="I133" t="s">
        <v>15</v>
      </c>
      <c r="J133" s="2">
        <v>1000</v>
      </c>
      <c r="K133">
        <v>180.33</v>
      </c>
      <c r="L133">
        <v>819.67</v>
      </c>
      <c r="M133">
        <v>21</v>
      </c>
      <c r="N133" t="s">
        <v>20</v>
      </c>
    </row>
    <row r="134" spans="1:14" x14ac:dyDescent="0.25">
      <c r="A134" t="s">
        <v>123</v>
      </c>
      <c r="B134">
        <v>747</v>
      </c>
      <c r="C134" s="1">
        <v>42846</v>
      </c>
      <c r="D134" t="s">
        <v>124</v>
      </c>
      <c r="E134" s="1">
        <v>42762</v>
      </c>
      <c r="F134">
        <v>0</v>
      </c>
      <c r="G134" s="1">
        <v>42846</v>
      </c>
      <c r="H134" s="1">
        <v>42825</v>
      </c>
      <c r="I134" t="s">
        <v>15</v>
      </c>
      <c r="J134" s="2">
        <v>2500</v>
      </c>
      <c r="K134">
        <v>0</v>
      </c>
      <c r="L134" s="2">
        <v>2500</v>
      </c>
      <c r="M134">
        <v>21</v>
      </c>
      <c r="N134" t="s">
        <v>125</v>
      </c>
    </row>
    <row r="135" spans="1:14" x14ac:dyDescent="0.25">
      <c r="A135" t="s">
        <v>126</v>
      </c>
      <c r="B135">
        <v>1570</v>
      </c>
      <c r="C135" s="1">
        <v>42971</v>
      </c>
      <c r="D135" t="s">
        <v>127</v>
      </c>
      <c r="E135" s="1">
        <v>42886</v>
      </c>
      <c r="F135">
        <v>0</v>
      </c>
      <c r="G135" s="1">
        <v>42972</v>
      </c>
      <c r="H135" s="1">
        <v>42952</v>
      </c>
      <c r="I135" t="s">
        <v>23</v>
      </c>
      <c r="J135">
        <v>300</v>
      </c>
      <c r="K135">
        <v>0</v>
      </c>
      <c r="L135">
        <v>300</v>
      </c>
      <c r="M135">
        <v>20</v>
      </c>
      <c r="N135" t="s">
        <v>101</v>
      </c>
    </row>
    <row r="136" spans="1:14" x14ac:dyDescent="0.25">
      <c r="A136" t="s">
        <v>46</v>
      </c>
      <c r="B136">
        <v>2117</v>
      </c>
      <c r="C136" s="1">
        <v>43066</v>
      </c>
      <c r="D136" t="s">
        <v>128</v>
      </c>
      <c r="E136" s="1">
        <v>43047</v>
      </c>
      <c r="F136">
        <v>0</v>
      </c>
      <c r="G136" s="1">
        <v>43067</v>
      </c>
      <c r="H136" s="1">
        <v>43047</v>
      </c>
      <c r="I136" t="s">
        <v>15</v>
      </c>
      <c r="J136">
        <v>381.23</v>
      </c>
      <c r="K136">
        <v>68.75</v>
      </c>
      <c r="L136">
        <v>312.48</v>
      </c>
      <c r="M136">
        <v>20</v>
      </c>
      <c r="N136" t="s">
        <v>129</v>
      </c>
    </row>
    <row r="137" spans="1:14" x14ac:dyDescent="0.25">
      <c r="A137" t="s">
        <v>60</v>
      </c>
      <c r="B137">
        <v>1686</v>
      </c>
      <c r="C137" s="1">
        <v>43004</v>
      </c>
      <c r="D137" t="str">
        <f>"2017120001486"</f>
        <v>2017120001486</v>
      </c>
      <c r="E137" s="1">
        <v>42984</v>
      </c>
      <c r="F137">
        <v>0</v>
      </c>
      <c r="G137" s="1">
        <v>43004</v>
      </c>
      <c r="H137" s="1">
        <v>42986</v>
      </c>
      <c r="I137" t="s">
        <v>15</v>
      </c>
      <c r="J137">
        <v>844.01</v>
      </c>
      <c r="K137">
        <v>0</v>
      </c>
      <c r="L137">
        <v>844.01</v>
      </c>
      <c r="M137">
        <v>18</v>
      </c>
      <c r="N137" t="s">
        <v>27</v>
      </c>
    </row>
    <row r="138" spans="1:14" x14ac:dyDescent="0.25">
      <c r="A138" t="s">
        <v>60</v>
      </c>
      <c r="B138">
        <v>1687</v>
      </c>
      <c r="C138" s="1">
        <v>43004</v>
      </c>
      <c r="D138" t="str">
        <f>"2017120001486"</f>
        <v>2017120001486</v>
      </c>
      <c r="E138" s="1">
        <v>42984</v>
      </c>
      <c r="F138">
        <v>0</v>
      </c>
      <c r="G138" s="1">
        <v>43004</v>
      </c>
      <c r="H138" s="1">
        <v>42986</v>
      </c>
      <c r="I138" t="s">
        <v>15</v>
      </c>
      <c r="J138">
        <v>75.91</v>
      </c>
      <c r="K138">
        <v>0</v>
      </c>
      <c r="L138">
        <v>75.91</v>
      </c>
      <c r="M138">
        <v>18</v>
      </c>
      <c r="N138" t="s">
        <v>27</v>
      </c>
    </row>
    <row r="139" spans="1:14" x14ac:dyDescent="0.25">
      <c r="A139" t="s">
        <v>61</v>
      </c>
      <c r="B139">
        <v>1177</v>
      </c>
      <c r="C139" s="1">
        <v>42913</v>
      </c>
      <c r="D139" t="str">
        <f>"205"</f>
        <v>205</v>
      </c>
      <c r="E139" s="1">
        <v>42828</v>
      </c>
      <c r="F139">
        <v>0</v>
      </c>
      <c r="G139" s="1">
        <v>42914</v>
      </c>
      <c r="H139" s="1">
        <v>42896</v>
      </c>
      <c r="I139" t="s">
        <v>15</v>
      </c>
      <c r="J139">
        <v>136.9</v>
      </c>
      <c r="K139">
        <v>0</v>
      </c>
      <c r="L139">
        <v>136.9</v>
      </c>
      <c r="M139">
        <v>18</v>
      </c>
      <c r="N139" t="s">
        <v>62</v>
      </c>
    </row>
    <row r="140" spans="1:14" x14ac:dyDescent="0.25">
      <c r="A140" t="s">
        <v>61</v>
      </c>
      <c r="B140">
        <v>1178</v>
      </c>
      <c r="C140" s="1">
        <v>42913</v>
      </c>
      <c r="D140" t="str">
        <f>"212"</f>
        <v>212</v>
      </c>
      <c r="E140" s="1">
        <v>42828</v>
      </c>
      <c r="F140">
        <v>0</v>
      </c>
      <c r="G140" s="1">
        <v>42914</v>
      </c>
      <c r="H140" s="1">
        <v>42896</v>
      </c>
      <c r="I140" t="s">
        <v>15</v>
      </c>
      <c r="J140">
        <v>128.66</v>
      </c>
      <c r="K140">
        <v>0</v>
      </c>
      <c r="L140">
        <v>128.66</v>
      </c>
      <c r="M140">
        <v>18</v>
      </c>
      <c r="N140" t="s">
        <v>62</v>
      </c>
    </row>
    <row r="141" spans="1:14" x14ac:dyDescent="0.25">
      <c r="A141" t="s">
        <v>61</v>
      </c>
      <c r="B141">
        <v>1176</v>
      </c>
      <c r="C141" s="1">
        <v>42913</v>
      </c>
      <c r="D141" t="str">
        <f>"210"</f>
        <v>210</v>
      </c>
      <c r="E141" s="1">
        <v>42828</v>
      </c>
      <c r="F141">
        <v>0</v>
      </c>
      <c r="G141" s="1">
        <v>42914</v>
      </c>
      <c r="H141" s="1">
        <v>42896</v>
      </c>
      <c r="I141" t="s">
        <v>15</v>
      </c>
      <c r="J141">
        <v>260.89999999999998</v>
      </c>
      <c r="K141">
        <v>0</v>
      </c>
      <c r="L141">
        <v>260.89999999999998</v>
      </c>
      <c r="M141">
        <v>18</v>
      </c>
      <c r="N141" t="s">
        <v>62</v>
      </c>
    </row>
    <row r="142" spans="1:14" x14ac:dyDescent="0.25">
      <c r="A142" t="s">
        <v>19</v>
      </c>
      <c r="B142">
        <v>926</v>
      </c>
      <c r="C142" s="1">
        <v>42872</v>
      </c>
      <c r="D142" s="3">
        <v>43224</v>
      </c>
      <c r="E142" s="1">
        <v>42855</v>
      </c>
      <c r="F142">
        <v>0</v>
      </c>
      <c r="G142" s="1">
        <v>42873</v>
      </c>
      <c r="H142" s="1">
        <v>42855</v>
      </c>
      <c r="I142" t="s">
        <v>15</v>
      </c>
      <c r="J142">
        <v>6.23</v>
      </c>
      <c r="K142">
        <v>1.1200000000000001</v>
      </c>
      <c r="L142">
        <v>5.1100000000000003</v>
      </c>
      <c r="M142">
        <v>18</v>
      </c>
      <c r="N142" t="s">
        <v>20</v>
      </c>
    </row>
    <row r="143" spans="1:14" x14ac:dyDescent="0.25">
      <c r="A143" t="s">
        <v>19</v>
      </c>
      <c r="B143">
        <v>925</v>
      </c>
      <c r="C143" s="1">
        <v>42872</v>
      </c>
      <c r="D143" s="3">
        <v>43224</v>
      </c>
      <c r="E143" s="1">
        <v>42855</v>
      </c>
      <c r="F143">
        <v>0</v>
      </c>
      <c r="G143" s="1">
        <v>42873</v>
      </c>
      <c r="H143" s="1">
        <v>42855</v>
      </c>
      <c r="I143" t="s">
        <v>15</v>
      </c>
      <c r="J143">
        <v>78.13</v>
      </c>
      <c r="K143">
        <v>14.09</v>
      </c>
      <c r="L143">
        <v>64.040000000000006</v>
      </c>
      <c r="M143">
        <v>18</v>
      </c>
      <c r="N143" t="s">
        <v>20</v>
      </c>
    </row>
    <row r="144" spans="1:14" x14ac:dyDescent="0.25">
      <c r="A144" t="s">
        <v>130</v>
      </c>
      <c r="B144">
        <v>1420</v>
      </c>
      <c r="C144" s="1">
        <v>42956</v>
      </c>
      <c r="D144" t="s">
        <v>131</v>
      </c>
      <c r="E144" s="1">
        <v>42870</v>
      </c>
      <c r="F144">
        <v>0</v>
      </c>
      <c r="G144" s="1">
        <v>42957</v>
      </c>
      <c r="H144" s="1">
        <v>42939</v>
      </c>
      <c r="I144" t="s">
        <v>23</v>
      </c>
      <c r="J144" s="2">
        <v>1074.6400000000001</v>
      </c>
      <c r="K144">
        <v>29.07</v>
      </c>
      <c r="L144" s="2">
        <v>1045.57</v>
      </c>
      <c r="M144">
        <v>18</v>
      </c>
      <c r="N144" t="s">
        <v>39</v>
      </c>
    </row>
    <row r="145" spans="1:14" x14ac:dyDescent="0.25">
      <c r="A145" t="s">
        <v>37</v>
      </c>
      <c r="B145">
        <v>871</v>
      </c>
      <c r="C145" s="1">
        <v>42872</v>
      </c>
      <c r="D145" t="s">
        <v>132</v>
      </c>
      <c r="E145" s="1">
        <v>42825</v>
      </c>
      <c r="F145">
        <v>0</v>
      </c>
      <c r="G145" s="1">
        <v>42873</v>
      </c>
      <c r="H145" s="1">
        <v>42855</v>
      </c>
      <c r="I145" t="s">
        <v>15</v>
      </c>
      <c r="J145" s="2">
        <v>10781.18</v>
      </c>
      <c r="K145">
        <v>414.66</v>
      </c>
      <c r="L145" s="2">
        <v>10366.52</v>
      </c>
      <c r="M145">
        <v>18</v>
      </c>
      <c r="N145" t="s">
        <v>39</v>
      </c>
    </row>
    <row r="146" spans="1:14" x14ac:dyDescent="0.25">
      <c r="A146" t="s">
        <v>37</v>
      </c>
      <c r="B146">
        <v>871</v>
      </c>
      <c r="C146" s="1">
        <v>42872</v>
      </c>
      <c r="D146" t="s">
        <v>133</v>
      </c>
      <c r="E146" s="1">
        <v>42825</v>
      </c>
      <c r="F146">
        <v>0</v>
      </c>
      <c r="G146" s="1">
        <v>42873</v>
      </c>
      <c r="H146" s="1">
        <v>42855</v>
      </c>
      <c r="I146" t="s">
        <v>15</v>
      </c>
      <c r="J146">
        <v>61.29</v>
      </c>
      <c r="K146">
        <v>5.57</v>
      </c>
      <c r="L146">
        <v>55.72</v>
      </c>
      <c r="M146">
        <v>18</v>
      </c>
      <c r="N146" t="s">
        <v>39</v>
      </c>
    </row>
    <row r="147" spans="1:14" x14ac:dyDescent="0.25">
      <c r="A147" t="s">
        <v>46</v>
      </c>
      <c r="B147">
        <v>1217</v>
      </c>
      <c r="C147" s="1">
        <v>42922</v>
      </c>
      <c r="D147" t="s">
        <v>134</v>
      </c>
      <c r="E147" s="1">
        <v>42905</v>
      </c>
      <c r="F147">
        <v>0</v>
      </c>
      <c r="G147" s="1">
        <v>42923</v>
      </c>
      <c r="H147" s="1">
        <v>42905</v>
      </c>
      <c r="I147" t="s">
        <v>15</v>
      </c>
      <c r="J147">
        <v>366.72</v>
      </c>
      <c r="K147">
        <v>66.13</v>
      </c>
      <c r="L147">
        <v>300.58999999999997</v>
      </c>
      <c r="M147">
        <v>18</v>
      </c>
      <c r="N147" t="s">
        <v>48</v>
      </c>
    </row>
    <row r="148" spans="1:14" x14ac:dyDescent="0.25">
      <c r="A148" t="s">
        <v>135</v>
      </c>
      <c r="B148">
        <v>866</v>
      </c>
      <c r="C148" s="1">
        <v>42871</v>
      </c>
      <c r="D148" t="str">
        <f>"25"</f>
        <v>25</v>
      </c>
      <c r="E148" s="1">
        <v>42818</v>
      </c>
      <c r="F148">
        <v>0</v>
      </c>
      <c r="G148" s="1">
        <v>42873</v>
      </c>
      <c r="H148" s="1">
        <v>42855</v>
      </c>
      <c r="I148" t="s">
        <v>15</v>
      </c>
      <c r="J148">
        <v>491.9</v>
      </c>
      <c r="K148">
        <v>88.7</v>
      </c>
      <c r="L148">
        <v>403.2</v>
      </c>
      <c r="M148">
        <v>18</v>
      </c>
      <c r="N148" t="s">
        <v>136</v>
      </c>
    </row>
    <row r="149" spans="1:14" x14ac:dyDescent="0.25">
      <c r="A149" t="s">
        <v>135</v>
      </c>
      <c r="B149">
        <v>865</v>
      </c>
      <c r="C149" s="1">
        <v>42871</v>
      </c>
      <c r="D149" t="str">
        <f>"29"</f>
        <v>29</v>
      </c>
      <c r="E149" s="1">
        <v>42823</v>
      </c>
      <c r="F149">
        <v>0</v>
      </c>
      <c r="G149" s="1">
        <v>42873</v>
      </c>
      <c r="H149" s="1">
        <v>42855</v>
      </c>
      <c r="I149" t="s">
        <v>15</v>
      </c>
      <c r="J149">
        <v>935.33</v>
      </c>
      <c r="K149">
        <v>168.67</v>
      </c>
      <c r="L149">
        <v>766.66</v>
      </c>
      <c r="M149">
        <v>18</v>
      </c>
      <c r="N149" t="s">
        <v>136</v>
      </c>
    </row>
    <row r="150" spans="1:14" x14ac:dyDescent="0.25">
      <c r="A150" t="s">
        <v>137</v>
      </c>
      <c r="B150">
        <v>934</v>
      </c>
      <c r="C150" s="1">
        <v>42872</v>
      </c>
      <c r="D150" t="s">
        <v>138</v>
      </c>
      <c r="E150" s="1">
        <v>42825</v>
      </c>
      <c r="F150">
        <v>0</v>
      </c>
      <c r="G150" s="1">
        <v>42873</v>
      </c>
      <c r="H150" s="1">
        <v>42855</v>
      </c>
      <c r="I150" t="s">
        <v>15</v>
      </c>
      <c r="J150" s="2">
        <v>2115.75</v>
      </c>
      <c r="K150">
        <v>100.75</v>
      </c>
      <c r="L150" s="2">
        <v>2015</v>
      </c>
      <c r="M150">
        <v>18</v>
      </c>
      <c r="N150" t="s">
        <v>139</v>
      </c>
    </row>
    <row r="151" spans="1:14" x14ac:dyDescent="0.25">
      <c r="A151" t="s">
        <v>140</v>
      </c>
      <c r="B151">
        <v>1426</v>
      </c>
      <c r="C151" s="1">
        <v>42956</v>
      </c>
      <c r="D151" t="str">
        <f>"12"</f>
        <v>12</v>
      </c>
      <c r="E151" s="1">
        <v>42940</v>
      </c>
      <c r="F151">
        <v>0</v>
      </c>
      <c r="G151" s="1">
        <v>42957</v>
      </c>
      <c r="H151" s="1">
        <v>42940</v>
      </c>
      <c r="I151" t="s">
        <v>15</v>
      </c>
      <c r="J151">
        <v>667</v>
      </c>
      <c r="K151">
        <v>120.28</v>
      </c>
      <c r="L151">
        <v>546.72</v>
      </c>
      <c r="M151">
        <v>17</v>
      </c>
      <c r="N151" t="s">
        <v>141</v>
      </c>
    </row>
    <row r="152" spans="1:14" x14ac:dyDescent="0.25">
      <c r="A152" t="s">
        <v>140</v>
      </c>
      <c r="B152">
        <v>1427</v>
      </c>
      <c r="C152" s="1">
        <v>42956</v>
      </c>
      <c r="D152" t="str">
        <f>"15"</f>
        <v>15</v>
      </c>
      <c r="E152" s="1">
        <v>42941</v>
      </c>
      <c r="F152">
        <v>0</v>
      </c>
      <c r="G152" s="1">
        <v>42957</v>
      </c>
      <c r="H152" s="1">
        <v>42941</v>
      </c>
      <c r="I152" t="s">
        <v>15</v>
      </c>
      <c r="J152">
        <v>285.49</v>
      </c>
      <c r="K152">
        <v>45.24</v>
      </c>
      <c r="L152">
        <v>240.25</v>
      </c>
      <c r="M152">
        <v>16</v>
      </c>
      <c r="N152" t="s">
        <v>141</v>
      </c>
    </row>
    <row r="153" spans="1:14" x14ac:dyDescent="0.25">
      <c r="A153" t="s">
        <v>57</v>
      </c>
      <c r="B153">
        <v>372</v>
      </c>
      <c r="C153" s="1">
        <v>42797</v>
      </c>
      <c r="D153" t="s">
        <v>142</v>
      </c>
      <c r="E153" s="1">
        <v>42751</v>
      </c>
      <c r="F153">
        <v>0</v>
      </c>
      <c r="G153" s="1">
        <v>42797</v>
      </c>
      <c r="H153" s="1">
        <v>42781</v>
      </c>
      <c r="I153" t="s">
        <v>15</v>
      </c>
      <c r="J153">
        <v>1.92</v>
      </c>
      <c r="K153">
        <v>0.35</v>
      </c>
      <c r="L153">
        <v>1.57</v>
      </c>
      <c r="M153">
        <v>16</v>
      </c>
      <c r="N153" t="s">
        <v>59</v>
      </c>
    </row>
    <row r="154" spans="1:14" x14ac:dyDescent="0.25">
      <c r="A154" t="s">
        <v>46</v>
      </c>
      <c r="B154">
        <v>1381</v>
      </c>
      <c r="C154" s="1">
        <v>42942</v>
      </c>
      <c r="D154" t="s">
        <v>143</v>
      </c>
      <c r="E154" s="1">
        <v>42928</v>
      </c>
      <c r="F154">
        <v>0</v>
      </c>
      <c r="G154" s="1">
        <v>42943</v>
      </c>
      <c r="H154" s="1">
        <v>42928</v>
      </c>
      <c r="I154" t="s">
        <v>15</v>
      </c>
      <c r="J154">
        <v>388.84</v>
      </c>
      <c r="K154">
        <v>70.12</v>
      </c>
      <c r="L154">
        <v>318.72000000000003</v>
      </c>
      <c r="M154">
        <v>15</v>
      </c>
      <c r="N154" t="s">
        <v>129</v>
      </c>
    </row>
    <row r="155" spans="1:14" x14ac:dyDescent="0.25">
      <c r="A155" t="s">
        <v>144</v>
      </c>
      <c r="B155">
        <v>436</v>
      </c>
      <c r="C155" s="1">
        <v>42802</v>
      </c>
      <c r="D155" t="str">
        <f>"1138"</f>
        <v>1138</v>
      </c>
      <c r="E155" s="1">
        <v>42759</v>
      </c>
      <c r="F155">
        <v>0</v>
      </c>
      <c r="G155" s="1">
        <v>42804</v>
      </c>
      <c r="H155" s="1">
        <v>42790</v>
      </c>
      <c r="I155" t="s">
        <v>15</v>
      </c>
      <c r="J155" s="2">
        <v>1255.3800000000001</v>
      </c>
      <c r="K155">
        <v>226.38</v>
      </c>
      <c r="L155" s="2">
        <v>1029</v>
      </c>
      <c r="M155">
        <v>14</v>
      </c>
      <c r="N155" t="s">
        <v>145</v>
      </c>
    </row>
    <row r="156" spans="1:14" x14ac:dyDescent="0.25">
      <c r="A156" t="s">
        <v>146</v>
      </c>
      <c r="B156">
        <v>1816</v>
      </c>
      <c r="C156" s="1">
        <v>43014</v>
      </c>
      <c r="D156" t="s">
        <v>43</v>
      </c>
      <c r="E156" s="1">
        <v>43000</v>
      </c>
      <c r="F156">
        <v>0</v>
      </c>
      <c r="G156" s="1">
        <v>43014</v>
      </c>
      <c r="H156" s="1">
        <v>43000</v>
      </c>
      <c r="I156" t="s">
        <v>15</v>
      </c>
      <c r="J156">
        <v>2</v>
      </c>
      <c r="K156">
        <v>0</v>
      </c>
      <c r="L156">
        <v>2</v>
      </c>
      <c r="M156">
        <v>14</v>
      </c>
      <c r="N156" t="s">
        <v>147</v>
      </c>
    </row>
    <row r="157" spans="1:14" x14ac:dyDescent="0.25">
      <c r="A157" t="s">
        <v>146</v>
      </c>
      <c r="B157">
        <v>1815</v>
      </c>
      <c r="C157" s="1">
        <v>43014</v>
      </c>
      <c r="D157" t="s">
        <v>43</v>
      </c>
      <c r="E157" s="1">
        <v>43000</v>
      </c>
      <c r="F157">
        <v>0</v>
      </c>
      <c r="G157" s="1">
        <v>43014</v>
      </c>
      <c r="H157" s="1">
        <v>43000</v>
      </c>
      <c r="I157" t="s">
        <v>15</v>
      </c>
      <c r="J157">
        <v>250</v>
      </c>
      <c r="K157">
        <v>0</v>
      </c>
      <c r="L157">
        <v>250</v>
      </c>
      <c r="M157">
        <v>14</v>
      </c>
      <c r="N157" t="s">
        <v>147</v>
      </c>
    </row>
    <row r="158" spans="1:14" x14ac:dyDescent="0.25">
      <c r="A158" t="s">
        <v>148</v>
      </c>
      <c r="B158">
        <v>2287</v>
      </c>
      <c r="C158" s="1">
        <v>43081</v>
      </c>
      <c r="D158" t="s">
        <v>149</v>
      </c>
      <c r="E158" s="1">
        <v>43063</v>
      </c>
      <c r="F158">
        <v>0</v>
      </c>
      <c r="G158" s="1">
        <v>43081</v>
      </c>
      <c r="H158" s="1">
        <v>43067</v>
      </c>
      <c r="I158" t="s">
        <v>15</v>
      </c>
      <c r="J158">
        <v>768.6</v>
      </c>
      <c r="K158">
        <v>138.6</v>
      </c>
      <c r="L158">
        <v>630</v>
      </c>
      <c r="M158">
        <v>14</v>
      </c>
      <c r="N158" t="s">
        <v>150</v>
      </c>
    </row>
    <row r="159" spans="1:14" x14ac:dyDescent="0.25">
      <c r="A159" t="s">
        <v>151</v>
      </c>
      <c r="B159">
        <v>1225</v>
      </c>
      <c r="C159" s="1">
        <v>42922</v>
      </c>
      <c r="D159" t="s">
        <v>152</v>
      </c>
      <c r="E159" s="1">
        <v>42873</v>
      </c>
      <c r="F159">
        <v>0</v>
      </c>
      <c r="G159" s="1">
        <v>42923</v>
      </c>
      <c r="H159" s="1">
        <v>42910</v>
      </c>
      <c r="I159" t="s">
        <v>15</v>
      </c>
      <c r="J159">
        <v>997.74</v>
      </c>
      <c r="K159">
        <v>47.51</v>
      </c>
      <c r="L159">
        <v>950.23</v>
      </c>
      <c r="M159">
        <v>13</v>
      </c>
      <c r="N159" t="s">
        <v>153</v>
      </c>
    </row>
    <row r="160" spans="1:14" x14ac:dyDescent="0.25">
      <c r="A160" t="s">
        <v>60</v>
      </c>
      <c r="B160">
        <v>1555</v>
      </c>
      <c r="C160" s="1">
        <v>42969</v>
      </c>
      <c r="D160" t="str">
        <f>"2017120001341"</f>
        <v>2017120001341</v>
      </c>
      <c r="E160" s="1">
        <v>42954</v>
      </c>
      <c r="F160">
        <v>0</v>
      </c>
      <c r="G160" s="1">
        <v>42969</v>
      </c>
      <c r="H160" s="1">
        <v>42957</v>
      </c>
      <c r="I160" t="s">
        <v>15</v>
      </c>
      <c r="J160">
        <v>212.03</v>
      </c>
      <c r="K160">
        <v>0</v>
      </c>
      <c r="L160">
        <v>212.03</v>
      </c>
      <c r="M160">
        <v>12</v>
      </c>
      <c r="N160" t="s">
        <v>27</v>
      </c>
    </row>
    <row r="161" spans="1:14" x14ac:dyDescent="0.25">
      <c r="A161" t="s">
        <v>60</v>
      </c>
      <c r="B161">
        <v>1556</v>
      </c>
      <c r="C161" s="1">
        <v>42969</v>
      </c>
      <c r="D161" t="str">
        <f>"2017120001341"</f>
        <v>2017120001341</v>
      </c>
      <c r="E161" s="1">
        <v>42954</v>
      </c>
      <c r="F161">
        <v>0</v>
      </c>
      <c r="G161" s="1">
        <v>42969</v>
      </c>
      <c r="H161" s="1">
        <v>42957</v>
      </c>
      <c r="I161" t="s">
        <v>15</v>
      </c>
      <c r="J161">
        <v>67.28</v>
      </c>
      <c r="K161">
        <v>0</v>
      </c>
      <c r="L161">
        <v>67.28</v>
      </c>
      <c r="M161">
        <v>12</v>
      </c>
      <c r="N161" t="s">
        <v>27</v>
      </c>
    </row>
    <row r="162" spans="1:14" x14ac:dyDescent="0.25">
      <c r="A162" t="s">
        <v>19</v>
      </c>
      <c r="B162">
        <v>2290</v>
      </c>
      <c r="C162" s="1">
        <v>43081</v>
      </c>
      <c r="D162" s="3">
        <v>43232</v>
      </c>
      <c r="E162" s="1">
        <v>43069</v>
      </c>
      <c r="F162">
        <v>0</v>
      </c>
      <c r="G162" s="1">
        <v>43081</v>
      </c>
      <c r="H162" s="1">
        <v>43069</v>
      </c>
      <c r="I162" t="s">
        <v>15</v>
      </c>
      <c r="J162">
        <v>0.59</v>
      </c>
      <c r="K162">
        <v>0.11</v>
      </c>
      <c r="L162">
        <v>0.48</v>
      </c>
      <c r="M162">
        <v>12</v>
      </c>
      <c r="N162" t="s">
        <v>59</v>
      </c>
    </row>
    <row r="163" spans="1:14" x14ac:dyDescent="0.25">
      <c r="A163" t="s">
        <v>19</v>
      </c>
      <c r="B163">
        <v>2290</v>
      </c>
      <c r="C163" s="1">
        <v>43081</v>
      </c>
      <c r="D163" s="3">
        <v>43232</v>
      </c>
      <c r="E163" s="1">
        <v>43069</v>
      </c>
      <c r="F163">
        <v>0</v>
      </c>
      <c r="G163" s="1">
        <v>43081</v>
      </c>
      <c r="H163" s="1">
        <v>43069</v>
      </c>
      <c r="I163" t="s">
        <v>15</v>
      </c>
      <c r="J163">
        <v>64.23</v>
      </c>
      <c r="K163">
        <v>11.58</v>
      </c>
      <c r="L163">
        <v>52.65</v>
      </c>
      <c r="M163">
        <v>12</v>
      </c>
      <c r="N163" t="s">
        <v>59</v>
      </c>
    </row>
    <row r="164" spans="1:14" x14ac:dyDescent="0.25">
      <c r="A164" t="s">
        <v>19</v>
      </c>
      <c r="B164">
        <v>2291</v>
      </c>
      <c r="C164" s="1">
        <v>43081</v>
      </c>
      <c r="D164" s="3">
        <v>43232</v>
      </c>
      <c r="E164" s="1">
        <v>43069</v>
      </c>
      <c r="F164">
        <v>0</v>
      </c>
      <c r="G164" s="1">
        <v>43081</v>
      </c>
      <c r="H164" s="1">
        <v>43069</v>
      </c>
      <c r="I164" t="s">
        <v>15</v>
      </c>
      <c r="J164">
        <v>464.23</v>
      </c>
      <c r="K164">
        <v>83.71</v>
      </c>
      <c r="L164">
        <v>380.52</v>
      </c>
      <c r="M164">
        <v>12</v>
      </c>
      <c r="N164" t="s">
        <v>59</v>
      </c>
    </row>
    <row r="165" spans="1:14" x14ac:dyDescent="0.25">
      <c r="A165" t="s">
        <v>60</v>
      </c>
      <c r="B165">
        <v>2325</v>
      </c>
      <c r="C165" s="1">
        <v>43088</v>
      </c>
      <c r="D165" t="str">
        <f>"2017120002121"</f>
        <v>2017120002121</v>
      </c>
      <c r="E165" s="1">
        <v>43070</v>
      </c>
      <c r="F165">
        <v>0</v>
      </c>
      <c r="G165" s="1">
        <v>43088</v>
      </c>
      <c r="H165" s="1">
        <v>43077</v>
      </c>
      <c r="I165" t="s">
        <v>15</v>
      </c>
      <c r="J165">
        <v>26.52</v>
      </c>
      <c r="K165">
        <v>0</v>
      </c>
      <c r="L165">
        <v>26.52</v>
      </c>
      <c r="M165">
        <v>11</v>
      </c>
      <c r="N165" t="s">
        <v>27</v>
      </c>
    </row>
    <row r="166" spans="1:14" x14ac:dyDescent="0.25">
      <c r="A166" t="s">
        <v>60</v>
      </c>
      <c r="B166">
        <v>2325</v>
      </c>
      <c r="C166" s="1">
        <v>43088</v>
      </c>
      <c r="D166" t="str">
        <f>"2017120002121"</f>
        <v>2017120002121</v>
      </c>
      <c r="E166" s="1">
        <v>43070</v>
      </c>
      <c r="F166">
        <v>0</v>
      </c>
      <c r="G166" s="1">
        <v>43088</v>
      </c>
      <c r="H166" s="1">
        <v>43077</v>
      </c>
      <c r="I166" t="s">
        <v>15</v>
      </c>
      <c r="J166">
        <v>73.31</v>
      </c>
      <c r="K166">
        <v>0</v>
      </c>
      <c r="L166">
        <v>73.31</v>
      </c>
      <c r="M166">
        <v>11</v>
      </c>
      <c r="N166" t="s">
        <v>27</v>
      </c>
    </row>
    <row r="167" spans="1:14" x14ac:dyDescent="0.25">
      <c r="A167" t="s">
        <v>25</v>
      </c>
      <c r="B167">
        <v>1425</v>
      </c>
      <c r="C167" s="1">
        <v>42956</v>
      </c>
      <c r="D167" t="s">
        <v>154</v>
      </c>
      <c r="E167" s="1">
        <v>42916</v>
      </c>
      <c r="F167">
        <v>0</v>
      </c>
      <c r="G167" s="1">
        <v>42957</v>
      </c>
      <c r="H167" s="1">
        <v>42946</v>
      </c>
      <c r="I167" t="s">
        <v>15</v>
      </c>
      <c r="J167">
        <v>629.52</v>
      </c>
      <c r="K167">
        <v>113.52</v>
      </c>
      <c r="L167">
        <v>516</v>
      </c>
      <c r="M167">
        <v>11</v>
      </c>
      <c r="N167" t="s">
        <v>27</v>
      </c>
    </row>
    <row r="168" spans="1:14" x14ac:dyDescent="0.25">
      <c r="A168" t="s">
        <v>130</v>
      </c>
      <c r="B168">
        <v>738</v>
      </c>
      <c r="C168" s="1">
        <v>42845</v>
      </c>
      <c r="D168" t="s">
        <v>155</v>
      </c>
      <c r="E168" s="1">
        <v>42815</v>
      </c>
      <c r="F168">
        <v>0</v>
      </c>
      <c r="G168" s="1">
        <v>42846</v>
      </c>
      <c r="H168" s="1">
        <v>42835</v>
      </c>
      <c r="I168" t="s">
        <v>15</v>
      </c>
      <c r="J168" s="2">
        <v>1002</v>
      </c>
      <c r="K168">
        <v>0</v>
      </c>
      <c r="L168" s="2">
        <v>1002</v>
      </c>
      <c r="M168">
        <v>11</v>
      </c>
      <c r="N168" t="s">
        <v>39</v>
      </c>
    </row>
    <row r="169" spans="1:14" x14ac:dyDescent="0.25">
      <c r="A169" t="s">
        <v>64</v>
      </c>
      <c r="B169">
        <v>1703</v>
      </c>
      <c r="C169" s="1">
        <v>43005</v>
      </c>
      <c r="D169" t="s">
        <v>156</v>
      </c>
      <c r="E169" s="1">
        <v>42979</v>
      </c>
      <c r="F169">
        <v>0</v>
      </c>
      <c r="G169" s="1">
        <v>43010</v>
      </c>
      <c r="H169" s="1">
        <v>42999</v>
      </c>
      <c r="I169" t="s">
        <v>15</v>
      </c>
      <c r="J169">
        <v>551.78</v>
      </c>
      <c r="K169">
        <v>99.5</v>
      </c>
      <c r="L169">
        <v>452.28</v>
      </c>
      <c r="M169">
        <v>11</v>
      </c>
      <c r="N169" t="s">
        <v>66</v>
      </c>
    </row>
    <row r="170" spans="1:14" x14ac:dyDescent="0.25">
      <c r="A170" t="s">
        <v>64</v>
      </c>
      <c r="B170">
        <v>1708</v>
      </c>
      <c r="C170" s="1">
        <v>43005</v>
      </c>
      <c r="D170" t="s">
        <v>157</v>
      </c>
      <c r="E170" s="1">
        <v>42979</v>
      </c>
      <c r="F170">
        <v>0</v>
      </c>
      <c r="G170" s="1">
        <v>43010</v>
      </c>
      <c r="H170" s="1">
        <v>42999</v>
      </c>
      <c r="I170" t="s">
        <v>15</v>
      </c>
      <c r="J170">
        <v>703.69</v>
      </c>
      <c r="K170">
        <v>102.12</v>
      </c>
      <c r="L170">
        <v>601.57000000000005</v>
      </c>
      <c r="M170">
        <v>11</v>
      </c>
      <c r="N170" t="s">
        <v>66</v>
      </c>
    </row>
    <row r="171" spans="1:14" x14ac:dyDescent="0.25">
      <c r="A171" t="s">
        <v>64</v>
      </c>
      <c r="B171">
        <v>1710</v>
      </c>
      <c r="C171" s="1">
        <v>43005</v>
      </c>
      <c r="D171" t="s">
        <v>157</v>
      </c>
      <c r="E171" s="1">
        <v>42979</v>
      </c>
      <c r="F171">
        <v>0</v>
      </c>
      <c r="G171" s="1">
        <v>43010</v>
      </c>
      <c r="H171" s="1">
        <v>42999</v>
      </c>
      <c r="I171" t="s">
        <v>15</v>
      </c>
      <c r="J171">
        <v>639.13</v>
      </c>
      <c r="K171">
        <v>92.76</v>
      </c>
      <c r="L171">
        <v>546.37</v>
      </c>
      <c r="M171">
        <v>11</v>
      </c>
      <c r="N171" t="s">
        <v>66</v>
      </c>
    </row>
    <row r="172" spans="1:14" x14ac:dyDescent="0.25">
      <c r="A172" t="s">
        <v>64</v>
      </c>
      <c r="B172">
        <v>1705</v>
      </c>
      <c r="C172" s="1">
        <v>43005</v>
      </c>
      <c r="D172" t="s">
        <v>157</v>
      </c>
      <c r="E172" s="1">
        <v>42979</v>
      </c>
      <c r="F172">
        <v>0</v>
      </c>
      <c r="G172" s="1">
        <v>43010</v>
      </c>
      <c r="H172" s="1">
        <v>42999</v>
      </c>
      <c r="I172" t="s">
        <v>15</v>
      </c>
      <c r="J172">
        <v>64.5</v>
      </c>
      <c r="K172">
        <v>9.36</v>
      </c>
      <c r="L172">
        <v>55.14</v>
      </c>
      <c r="M172">
        <v>11</v>
      </c>
      <c r="N172" t="s">
        <v>66</v>
      </c>
    </row>
    <row r="173" spans="1:14" x14ac:dyDescent="0.25">
      <c r="A173" t="s">
        <v>64</v>
      </c>
      <c r="B173">
        <v>1711</v>
      </c>
      <c r="C173" s="1">
        <v>43005</v>
      </c>
      <c r="D173" t="s">
        <v>157</v>
      </c>
      <c r="E173" s="1">
        <v>42979</v>
      </c>
      <c r="F173">
        <v>0</v>
      </c>
      <c r="G173" s="1">
        <v>43010</v>
      </c>
      <c r="H173" s="1">
        <v>42999</v>
      </c>
      <c r="I173" t="s">
        <v>15</v>
      </c>
      <c r="J173">
        <v>126.26</v>
      </c>
      <c r="K173">
        <v>18.32</v>
      </c>
      <c r="L173">
        <v>107.94</v>
      </c>
      <c r="M173">
        <v>11</v>
      </c>
      <c r="N173" t="s">
        <v>66</v>
      </c>
    </row>
    <row r="174" spans="1:14" x14ac:dyDescent="0.25">
      <c r="A174" t="s">
        <v>64</v>
      </c>
      <c r="B174">
        <v>1706</v>
      </c>
      <c r="C174" s="1">
        <v>43005</v>
      </c>
      <c r="D174" t="s">
        <v>157</v>
      </c>
      <c r="E174" s="1">
        <v>42979</v>
      </c>
      <c r="F174">
        <v>0</v>
      </c>
      <c r="G174" s="1">
        <v>43010</v>
      </c>
      <c r="H174" s="1">
        <v>42999</v>
      </c>
      <c r="I174" t="s">
        <v>15</v>
      </c>
      <c r="J174">
        <v>747.97</v>
      </c>
      <c r="K174">
        <v>108.55</v>
      </c>
      <c r="L174">
        <v>639.41999999999996</v>
      </c>
      <c r="M174">
        <v>11</v>
      </c>
      <c r="N174" t="s">
        <v>66</v>
      </c>
    </row>
    <row r="175" spans="1:14" x14ac:dyDescent="0.25">
      <c r="A175" t="s">
        <v>64</v>
      </c>
      <c r="B175">
        <v>1707</v>
      </c>
      <c r="C175" s="1">
        <v>43005</v>
      </c>
      <c r="D175" t="s">
        <v>157</v>
      </c>
      <c r="E175" s="1">
        <v>42979</v>
      </c>
      <c r="F175">
        <v>0</v>
      </c>
      <c r="G175" s="1">
        <v>43010</v>
      </c>
      <c r="H175" s="1">
        <v>42999</v>
      </c>
      <c r="I175" t="s">
        <v>15</v>
      </c>
      <c r="J175">
        <v>128.94999999999999</v>
      </c>
      <c r="K175">
        <v>18.71</v>
      </c>
      <c r="L175">
        <v>110.24</v>
      </c>
      <c r="M175">
        <v>11</v>
      </c>
      <c r="N175" t="s">
        <v>66</v>
      </c>
    </row>
    <row r="176" spans="1:14" x14ac:dyDescent="0.25">
      <c r="A176" t="s">
        <v>64</v>
      </c>
      <c r="B176">
        <v>1704</v>
      </c>
      <c r="C176" s="1">
        <v>43005</v>
      </c>
      <c r="D176" t="s">
        <v>158</v>
      </c>
      <c r="E176" s="1">
        <v>42979</v>
      </c>
      <c r="F176">
        <v>0</v>
      </c>
      <c r="G176" s="1">
        <v>43010</v>
      </c>
      <c r="H176" s="1">
        <v>42999</v>
      </c>
      <c r="I176" t="s">
        <v>15</v>
      </c>
      <c r="J176" s="2">
        <v>1190.58</v>
      </c>
      <c r="K176">
        <v>218.3</v>
      </c>
      <c r="L176">
        <v>972.28</v>
      </c>
      <c r="M176">
        <v>11</v>
      </c>
      <c r="N176" t="s">
        <v>66</v>
      </c>
    </row>
    <row r="177" spans="1:14" x14ac:dyDescent="0.25">
      <c r="A177" t="s">
        <v>64</v>
      </c>
      <c r="B177">
        <v>1709</v>
      </c>
      <c r="C177" s="1">
        <v>43005</v>
      </c>
      <c r="D177" t="s">
        <v>157</v>
      </c>
      <c r="E177" s="1">
        <v>42979</v>
      </c>
      <c r="F177">
        <v>0</v>
      </c>
      <c r="G177" s="1">
        <v>43010</v>
      </c>
      <c r="H177" s="1">
        <v>42999</v>
      </c>
      <c r="I177" t="s">
        <v>15</v>
      </c>
      <c r="J177">
        <v>191.81</v>
      </c>
      <c r="K177">
        <v>27.84</v>
      </c>
      <c r="L177">
        <v>163.97</v>
      </c>
      <c r="M177">
        <v>11</v>
      </c>
      <c r="N177" t="s">
        <v>66</v>
      </c>
    </row>
    <row r="178" spans="1:14" x14ac:dyDescent="0.25">
      <c r="A178" t="s">
        <v>19</v>
      </c>
      <c r="B178">
        <v>462</v>
      </c>
      <c r="C178" s="1">
        <v>42804</v>
      </c>
      <c r="D178" s="3">
        <v>43222</v>
      </c>
      <c r="E178" s="1">
        <v>42794</v>
      </c>
      <c r="F178">
        <v>0</v>
      </c>
      <c r="G178" s="1">
        <v>42804</v>
      </c>
      <c r="H178" s="1">
        <v>42794</v>
      </c>
      <c r="I178" t="s">
        <v>15</v>
      </c>
      <c r="J178">
        <v>129.81</v>
      </c>
      <c r="K178">
        <v>23.41</v>
      </c>
      <c r="L178">
        <v>106.4</v>
      </c>
      <c r="M178">
        <v>10</v>
      </c>
      <c r="N178" t="s">
        <v>20</v>
      </c>
    </row>
    <row r="179" spans="1:14" x14ac:dyDescent="0.25">
      <c r="A179" t="s">
        <v>83</v>
      </c>
      <c r="B179">
        <v>1423</v>
      </c>
      <c r="C179" s="1">
        <v>42956</v>
      </c>
      <c r="D179" t="s">
        <v>159</v>
      </c>
      <c r="E179" s="1">
        <v>42916</v>
      </c>
      <c r="F179">
        <v>0</v>
      </c>
      <c r="G179" s="1">
        <v>42957</v>
      </c>
      <c r="H179" s="1">
        <v>42947</v>
      </c>
      <c r="I179" t="s">
        <v>15</v>
      </c>
      <c r="J179" s="2">
        <v>9935.07</v>
      </c>
      <c r="K179">
        <v>903.19</v>
      </c>
      <c r="L179" s="2">
        <v>9031.8799999999992</v>
      </c>
      <c r="M179">
        <v>10</v>
      </c>
      <c r="N179" t="s">
        <v>81</v>
      </c>
    </row>
    <row r="180" spans="1:14" x14ac:dyDescent="0.25">
      <c r="A180" t="s">
        <v>37</v>
      </c>
      <c r="B180">
        <v>1979</v>
      </c>
      <c r="C180" s="1">
        <v>43048</v>
      </c>
      <c r="D180" t="s">
        <v>160</v>
      </c>
      <c r="E180" s="1">
        <v>43008</v>
      </c>
      <c r="F180">
        <v>0</v>
      </c>
      <c r="G180" s="1">
        <v>43049</v>
      </c>
      <c r="H180" s="1">
        <v>43039</v>
      </c>
      <c r="I180" t="s">
        <v>15</v>
      </c>
      <c r="J180">
        <v>48.35</v>
      </c>
      <c r="K180">
        <v>4.4000000000000004</v>
      </c>
      <c r="L180">
        <v>43.95</v>
      </c>
      <c r="M180">
        <v>10</v>
      </c>
      <c r="N180" t="s">
        <v>39</v>
      </c>
    </row>
    <row r="181" spans="1:14" x14ac:dyDescent="0.25">
      <c r="A181" t="s">
        <v>37</v>
      </c>
      <c r="B181">
        <v>1979</v>
      </c>
      <c r="C181" s="1">
        <v>43048</v>
      </c>
      <c r="D181" t="s">
        <v>161</v>
      </c>
      <c r="E181" s="1">
        <v>43008</v>
      </c>
      <c r="F181">
        <v>0</v>
      </c>
      <c r="G181" s="1">
        <v>43049</v>
      </c>
      <c r="H181" s="1">
        <v>43039</v>
      </c>
      <c r="I181" t="s">
        <v>15</v>
      </c>
      <c r="J181" s="2">
        <v>1036.6199999999999</v>
      </c>
      <c r="K181">
        <v>39.869999999999997</v>
      </c>
      <c r="L181">
        <v>996.75</v>
      </c>
      <c r="M181">
        <v>10</v>
      </c>
      <c r="N181" t="s">
        <v>39</v>
      </c>
    </row>
    <row r="182" spans="1:14" x14ac:dyDescent="0.25">
      <c r="A182" t="s">
        <v>37</v>
      </c>
      <c r="B182">
        <v>1979</v>
      </c>
      <c r="C182" s="1">
        <v>43048</v>
      </c>
      <c r="D182" t="s">
        <v>162</v>
      </c>
      <c r="E182" s="1">
        <v>43008</v>
      </c>
      <c r="F182">
        <v>0</v>
      </c>
      <c r="G182" s="1">
        <v>43049</v>
      </c>
      <c r="H182" s="1">
        <v>43039</v>
      </c>
      <c r="I182" t="s">
        <v>15</v>
      </c>
      <c r="J182" s="2">
        <v>2593.7199999999998</v>
      </c>
      <c r="K182">
        <v>99.76</v>
      </c>
      <c r="L182" s="2">
        <v>2493.96</v>
      </c>
      <c r="M182">
        <v>10</v>
      </c>
      <c r="N182" t="s">
        <v>39</v>
      </c>
    </row>
    <row r="183" spans="1:14" x14ac:dyDescent="0.25">
      <c r="A183" t="s">
        <v>137</v>
      </c>
      <c r="B183">
        <v>434</v>
      </c>
      <c r="C183" s="1">
        <v>42802</v>
      </c>
      <c r="D183" t="s">
        <v>163</v>
      </c>
      <c r="E183" s="1">
        <v>42766</v>
      </c>
      <c r="F183">
        <v>0</v>
      </c>
      <c r="G183" s="1">
        <v>42804</v>
      </c>
      <c r="H183" s="1">
        <v>42794</v>
      </c>
      <c r="I183" t="s">
        <v>15</v>
      </c>
      <c r="J183" s="2">
        <v>2115.75</v>
      </c>
      <c r="K183">
        <v>100.75</v>
      </c>
      <c r="L183" s="2">
        <v>2015</v>
      </c>
      <c r="M183">
        <v>10</v>
      </c>
      <c r="N183" t="s">
        <v>139</v>
      </c>
    </row>
    <row r="184" spans="1:14" x14ac:dyDescent="0.25">
      <c r="A184" t="s">
        <v>37</v>
      </c>
      <c r="B184">
        <v>1030</v>
      </c>
      <c r="C184" s="1">
        <v>42895</v>
      </c>
      <c r="D184" t="s">
        <v>164</v>
      </c>
      <c r="E184" s="1">
        <v>42855</v>
      </c>
      <c r="F184">
        <v>0</v>
      </c>
      <c r="G184" s="1">
        <v>42895</v>
      </c>
      <c r="H184" s="1">
        <v>42886</v>
      </c>
      <c r="I184" t="s">
        <v>15</v>
      </c>
      <c r="J184" s="2">
        <v>7203.67</v>
      </c>
      <c r="K184">
        <v>277.06</v>
      </c>
      <c r="L184" s="2">
        <v>6926.61</v>
      </c>
      <c r="M184">
        <v>9</v>
      </c>
      <c r="N184" t="s">
        <v>39</v>
      </c>
    </row>
    <row r="185" spans="1:14" x14ac:dyDescent="0.25">
      <c r="A185" t="s">
        <v>37</v>
      </c>
      <c r="B185">
        <v>1030</v>
      </c>
      <c r="C185" s="1">
        <v>42895</v>
      </c>
      <c r="D185" t="s">
        <v>165</v>
      </c>
      <c r="E185" s="1">
        <v>42855</v>
      </c>
      <c r="F185">
        <v>0</v>
      </c>
      <c r="G185" s="1">
        <v>42895</v>
      </c>
      <c r="H185" s="1">
        <v>42886</v>
      </c>
      <c r="I185" t="s">
        <v>15</v>
      </c>
      <c r="J185">
        <v>49.79</v>
      </c>
      <c r="K185">
        <v>4.53</v>
      </c>
      <c r="L185">
        <v>45.26</v>
      </c>
      <c r="M185">
        <v>9</v>
      </c>
      <c r="N185" t="s">
        <v>39</v>
      </c>
    </row>
    <row r="186" spans="1:14" x14ac:dyDescent="0.25">
      <c r="A186" t="s">
        <v>46</v>
      </c>
      <c r="B186">
        <v>1641</v>
      </c>
      <c r="C186" s="1">
        <v>42993</v>
      </c>
      <c r="D186" t="s">
        <v>166</v>
      </c>
      <c r="E186" s="1">
        <v>42984</v>
      </c>
      <c r="F186">
        <v>0</v>
      </c>
      <c r="G186" s="1">
        <v>42993</v>
      </c>
      <c r="H186" s="1">
        <v>42984</v>
      </c>
      <c r="I186" t="s">
        <v>15</v>
      </c>
      <c r="J186">
        <v>394.18</v>
      </c>
      <c r="K186">
        <v>71.08</v>
      </c>
      <c r="L186">
        <v>323.10000000000002</v>
      </c>
      <c r="M186">
        <v>9</v>
      </c>
      <c r="N186" t="s">
        <v>129</v>
      </c>
    </row>
    <row r="187" spans="1:14" x14ac:dyDescent="0.25">
      <c r="A187" t="s">
        <v>57</v>
      </c>
      <c r="B187">
        <v>1551</v>
      </c>
      <c r="C187" s="1">
        <v>42969</v>
      </c>
      <c r="D187" t="s">
        <v>167</v>
      </c>
      <c r="E187" s="1">
        <v>42930</v>
      </c>
      <c r="F187">
        <v>0</v>
      </c>
      <c r="G187" s="1">
        <v>42969</v>
      </c>
      <c r="H187" s="1">
        <v>42960</v>
      </c>
      <c r="I187" t="s">
        <v>15</v>
      </c>
      <c r="J187">
        <v>1.92</v>
      </c>
      <c r="K187">
        <v>0.35</v>
      </c>
      <c r="L187">
        <v>1.57</v>
      </c>
      <c r="M187">
        <v>9</v>
      </c>
      <c r="N187" t="s">
        <v>59</v>
      </c>
    </row>
    <row r="188" spans="1:14" x14ac:dyDescent="0.25">
      <c r="A188" t="s">
        <v>60</v>
      </c>
      <c r="B188">
        <v>1871</v>
      </c>
      <c r="C188" s="1">
        <v>43026</v>
      </c>
      <c r="D188" t="str">
        <f>"2017120001617"</f>
        <v>2017120001617</v>
      </c>
      <c r="E188" s="1">
        <v>43012</v>
      </c>
      <c r="F188">
        <v>0</v>
      </c>
      <c r="G188" s="1">
        <v>43026</v>
      </c>
      <c r="H188" s="1">
        <v>43018</v>
      </c>
      <c r="I188" t="s">
        <v>15</v>
      </c>
      <c r="J188">
        <v>112.91</v>
      </c>
      <c r="K188">
        <v>0</v>
      </c>
      <c r="L188">
        <v>112.91</v>
      </c>
      <c r="M188">
        <v>8</v>
      </c>
      <c r="N188" t="s">
        <v>27</v>
      </c>
    </row>
    <row r="189" spans="1:14" x14ac:dyDescent="0.25">
      <c r="A189" t="s">
        <v>60</v>
      </c>
      <c r="B189">
        <v>1871</v>
      </c>
      <c r="C189" s="1">
        <v>43026</v>
      </c>
      <c r="D189" t="str">
        <f>"2017120001617"</f>
        <v>2017120001617</v>
      </c>
      <c r="E189" s="1">
        <v>43012</v>
      </c>
      <c r="F189">
        <v>0</v>
      </c>
      <c r="G189" s="1">
        <v>43026</v>
      </c>
      <c r="H189" s="1">
        <v>43018</v>
      </c>
      <c r="I189" t="s">
        <v>15</v>
      </c>
      <c r="J189">
        <v>36.869999999999997</v>
      </c>
      <c r="K189">
        <v>0</v>
      </c>
      <c r="L189">
        <v>36.869999999999997</v>
      </c>
      <c r="M189">
        <v>8</v>
      </c>
      <c r="N189" t="s">
        <v>27</v>
      </c>
    </row>
    <row r="190" spans="1:14" x14ac:dyDescent="0.25">
      <c r="A190" t="s">
        <v>70</v>
      </c>
      <c r="B190">
        <v>605</v>
      </c>
      <c r="C190" s="1">
        <v>42830</v>
      </c>
      <c r="D190" t="s">
        <v>168</v>
      </c>
      <c r="E190" s="1">
        <v>42789</v>
      </c>
      <c r="F190">
        <v>0</v>
      </c>
      <c r="G190" s="1">
        <v>42832</v>
      </c>
      <c r="H190" s="1">
        <v>42824</v>
      </c>
      <c r="I190" t="s">
        <v>15</v>
      </c>
      <c r="J190">
        <v>646.6</v>
      </c>
      <c r="K190">
        <v>116.6</v>
      </c>
      <c r="L190">
        <v>530</v>
      </c>
      <c r="M190">
        <v>8</v>
      </c>
      <c r="N190" t="s">
        <v>52</v>
      </c>
    </row>
    <row r="191" spans="1:14" x14ac:dyDescent="0.25">
      <c r="A191" t="s">
        <v>64</v>
      </c>
      <c r="B191">
        <v>2133</v>
      </c>
      <c r="C191" s="1">
        <v>43066</v>
      </c>
      <c r="D191" t="s">
        <v>169</v>
      </c>
      <c r="E191" s="1">
        <v>43039</v>
      </c>
      <c r="F191">
        <v>0</v>
      </c>
      <c r="G191" s="1">
        <v>43067</v>
      </c>
      <c r="H191" s="1">
        <v>43059</v>
      </c>
      <c r="I191" t="s">
        <v>15</v>
      </c>
      <c r="J191">
        <v>33.729999999999997</v>
      </c>
      <c r="K191">
        <v>6.08</v>
      </c>
      <c r="L191">
        <v>27.65</v>
      </c>
      <c r="M191">
        <v>8</v>
      </c>
      <c r="N191" t="s">
        <v>66</v>
      </c>
    </row>
    <row r="192" spans="1:14" x14ac:dyDescent="0.25">
      <c r="A192" t="s">
        <v>64</v>
      </c>
      <c r="B192">
        <v>2128</v>
      </c>
      <c r="C192" s="1">
        <v>43066</v>
      </c>
      <c r="D192" t="s">
        <v>170</v>
      </c>
      <c r="E192" s="1">
        <v>43039</v>
      </c>
      <c r="F192">
        <v>0</v>
      </c>
      <c r="G192" s="1">
        <v>43067</v>
      </c>
      <c r="H192" s="1">
        <v>43059</v>
      </c>
      <c r="I192" t="s">
        <v>15</v>
      </c>
      <c r="J192">
        <v>5.26</v>
      </c>
      <c r="K192">
        <v>0.95</v>
      </c>
      <c r="L192">
        <v>4.3099999999999996</v>
      </c>
      <c r="M192">
        <v>8</v>
      </c>
      <c r="N192" t="s">
        <v>66</v>
      </c>
    </row>
    <row r="193" spans="1:14" x14ac:dyDescent="0.25">
      <c r="A193" t="s">
        <v>64</v>
      </c>
      <c r="B193">
        <v>2127</v>
      </c>
      <c r="C193" s="1">
        <v>43066</v>
      </c>
      <c r="D193" t="s">
        <v>171</v>
      </c>
      <c r="E193" s="1">
        <v>43039</v>
      </c>
      <c r="F193">
        <v>0</v>
      </c>
      <c r="G193" s="1">
        <v>43067</v>
      </c>
      <c r="H193" s="1">
        <v>43059</v>
      </c>
      <c r="I193" t="s">
        <v>15</v>
      </c>
      <c r="J193">
        <v>2.2599999999999998</v>
      </c>
      <c r="K193">
        <v>0.41</v>
      </c>
      <c r="L193">
        <v>1.85</v>
      </c>
      <c r="M193">
        <v>8</v>
      </c>
      <c r="N193" t="s">
        <v>66</v>
      </c>
    </row>
    <row r="194" spans="1:14" x14ac:dyDescent="0.25">
      <c r="A194" t="s">
        <v>64</v>
      </c>
      <c r="B194">
        <v>2130</v>
      </c>
      <c r="C194" s="1">
        <v>43066</v>
      </c>
      <c r="D194" t="s">
        <v>172</v>
      </c>
      <c r="E194" s="1">
        <v>43039</v>
      </c>
      <c r="F194">
        <v>0</v>
      </c>
      <c r="G194" s="1">
        <v>43067</v>
      </c>
      <c r="H194" s="1">
        <v>43059</v>
      </c>
      <c r="I194" t="s">
        <v>15</v>
      </c>
      <c r="J194">
        <v>33.729999999999997</v>
      </c>
      <c r="K194">
        <v>6.08</v>
      </c>
      <c r="L194">
        <v>27.65</v>
      </c>
      <c r="M194">
        <v>8</v>
      </c>
      <c r="N194" t="s">
        <v>66</v>
      </c>
    </row>
    <row r="195" spans="1:14" x14ac:dyDescent="0.25">
      <c r="A195" t="s">
        <v>64</v>
      </c>
      <c r="B195">
        <v>2129</v>
      </c>
      <c r="C195" s="1">
        <v>43066</v>
      </c>
      <c r="D195" t="s">
        <v>170</v>
      </c>
      <c r="E195" s="1">
        <v>43039</v>
      </c>
      <c r="F195">
        <v>0</v>
      </c>
      <c r="G195" s="1">
        <v>43067</v>
      </c>
      <c r="H195" s="1">
        <v>43059</v>
      </c>
      <c r="I195" t="s">
        <v>15</v>
      </c>
      <c r="J195">
        <v>28.47</v>
      </c>
      <c r="K195">
        <v>5.13</v>
      </c>
      <c r="L195">
        <v>23.34</v>
      </c>
      <c r="M195">
        <v>8</v>
      </c>
      <c r="N195" t="s">
        <v>66</v>
      </c>
    </row>
    <row r="196" spans="1:14" x14ac:dyDescent="0.25">
      <c r="A196" t="s">
        <v>64</v>
      </c>
      <c r="B196">
        <v>2126</v>
      </c>
      <c r="C196" s="1">
        <v>43066</v>
      </c>
      <c r="D196" t="s">
        <v>173</v>
      </c>
      <c r="E196" s="1">
        <v>43039</v>
      </c>
      <c r="F196">
        <v>0</v>
      </c>
      <c r="G196" s="1">
        <v>43067</v>
      </c>
      <c r="H196" s="1">
        <v>43059</v>
      </c>
      <c r="I196" t="s">
        <v>15</v>
      </c>
      <c r="J196">
        <v>33.729999999999997</v>
      </c>
      <c r="K196">
        <v>6.08</v>
      </c>
      <c r="L196">
        <v>27.65</v>
      </c>
      <c r="M196">
        <v>8</v>
      </c>
      <c r="N196" t="s">
        <v>66</v>
      </c>
    </row>
    <row r="197" spans="1:14" x14ac:dyDescent="0.25">
      <c r="A197" t="s">
        <v>64</v>
      </c>
      <c r="B197">
        <v>2131</v>
      </c>
      <c r="C197" s="1">
        <v>43066</v>
      </c>
      <c r="D197" t="s">
        <v>174</v>
      </c>
      <c r="E197" s="1">
        <v>43039</v>
      </c>
      <c r="F197">
        <v>0</v>
      </c>
      <c r="G197" s="1">
        <v>43067</v>
      </c>
      <c r="H197" s="1">
        <v>43059</v>
      </c>
      <c r="I197" t="s">
        <v>15</v>
      </c>
      <c r="J197">
        <v>56.05</v>
      </c>
      <c r="K197">
        <v>10.11</v>
      </c>
      <c r="L197">
        <v>45.94</v>
      </c>
      <c r="M197">
        <v>8</v>
      </c>
      <c r="N197" t="s">
        <v>66</v>
      </c>
    </row>
    <row r="198" spans="1:14" x14ac:dyDescent="0.25">
      <c r="A198" t="s">
        <v>64</v>
      </c>
      <c r="B198">
        <v>2125</v>
      </c>
      <c r="C198" s="1">
        <v>43066</v>
      </c>
      <c r="D198" t="s">
        <v>175</v>
      </c>
      <c r="E198" s="1">
        <v>43039</v>
      </c>
      <c r="F198">
        <v>0</v>
      </c>
      <c r="G198" s="1">
        <v>43067</v>
      </c>
      <c r="H198" s="1">
        <v>43059</v>
      </c>
      <c r="I198" t="s">
        <v>15</v>
      </c>
      <c r="J198">
        <v>2.2599999999999998</v>
      </c>
      <c r="K198">
        <v>0.41</v>
      </c>
      <c r="L198">
        <v>1.85</v>
      </c>
      <c r="M198">
        <v>8</v>
      </c>
      <c r="N198" t="s">
        <v>66</v>
      </c>
    </row>
    <row r="199" spans="1:14" x14ac:dyDescent="0.25">
      <c r="A199" t="s">
        <v>64</v>
      </c>
      <c r="B199">
        <v>2134</v>
      </c>
      <c r="C199" s="1">
        <v>43066</v>
      </c>
      <c r="D199" t="s">
        <v>176</v>
      </c>
      <c r="E199" s="1">
        <v>43039</v>
      </c>
      <c r="F199">
        <v>0</v>
      </c>
      <c r="G199" s="1">
        <v>43067</v>
      </c>
      <c r="H199" s="1">
        <v>43059</v>
      </c>
      <c r="I199" t="s">
        <v>15</v>
      </c>
      <c r="J199">
        <v>87.43</v>
      </c>
      <c r="K199">
        <v>15.77</v>
      </c>
      <c r="L199">
        <v>71.66</v>
      </c>
      <c r="M199">
        <v>8</v>
      </c>
      <c r="N199" t="s">
        <v>66</v>
      </c>
    </row>
    <row r="200" spans="1:14" x14ac:dyDescent="0.25">
      <c r="A200" t="s">
        <v>64</v>
      </c>
      <c r="B200">
        <v>2132</v>
      </c>
      <c r="C200" s="1">
        <v>43066</v>
      </c>
      <c r="D200" t="s">
        <v>177</v>
      </c>
      <c r="E200" s="1">
        <v>43039</v>
      </c>
      <c r="F200">
        <v>0</v>
      </c>
      <c r="G200" s="1">
        <v>43067</v>
      </c>
      <c r="H200" s="1">
        <v>43059</v>
      </c>
      <c r="I200" t="s">
        <v>15</v>
      </c>
      <c r="J200">
        <v>33.729999999999997</v>
      </c>
      <c r="K200">
        <v>6.08</v>
      </c>
      <c r="L200">
        <v>27.65</v>
      </c>
      <c r="M200">
        <v>8</v>
      </c>
      <c r="N200" t="s">
        <v>66</v>
      </c>
    </row>
    <row r="201" spans="1:14" x14ac:dyDescent="0.25">
      <c r="A201" t="s">
        <v>178</v>
      </c>
      <c r="B201">
        <v>655</v>
      </c>
      <c r="C201" s="1">
        <v>42832</v>
      </c>
      <c r="D201" t="s">
        <v>179</v>
      </c>
      <c r="E201" s="1">
        <v>42794</v>
      </c>
      <c r="F201">
        <v>0</v>
      </c>
      <c r="G201" s="1">
        <v>42832</v>
      </c>
      <c r="H201" s="1">
        <v>42824</v>
      </c>
      <c r="I201" t="s">
        <v>15</v>
      </c>
      <c r="J201" s="2">
        <v>1657.6</v>
      </c>
      <c r="K201">
        <v>0</v>
      </c>
      <c r="L201" s="2">
        <v>1657.6</v>
      </c>
      <c r="M201">
        <v>8</v>
      </c>
      <c r="N201" t="s">
        <v>62</v>
      </c>
    </row>
    <row r="202" spans="1:14" x14ac:dyDescent="0.25">
      <c r="A202" t="s">
        <v>180</v>
      </c>
      <c r="B202">
        <v>967</v>
      </c>
      <c r="C202" s="1">
        <v>42893</v>
      </c>
      <c r="D202" t="str">
        <f>"92"</f>
        <v>92</v>
      </c>
      <c r="E202" s="1">
        <v>42855</v>
      </c>
      <c r="F202">
        <v>0</v>
      </c>
      <c r="G202" s="1">
        <v>42895</v>
      </c>
      <c r="H202" s="1">
        <v>42887</v>
      </c>
      <c r="I202" t="s">
        <v>15</v>
      </c>
      <c r="J202">
        <v>194.59</v>
      </c>
      <c r="K202">
        <v>35.090000000000003</v>
      </c>
      <c r="L202">
        <v>159.5</v>
      </c>
      <c r="M202">
        <v>8</v>
      </c>
      <c r="N202" t="s">
        <v>16</v>
      </c>
    </row>
    <row r="203" spans="1:14" x14ac:dyDescent="0.25">
      <c r="A203" t="s">
        <v>180</v>
      </c>
      <c r="B203">
        <v>968</v>
      </c>
      <c r="C203" s="1">
        <v>42893</v>
      </c>
      <c r="D203" t="str">
        <f>"92"</f>
        <v>92</v>
      </c>
      <c r="E203" s="1">
        <v>42855</v>
      </c>
      <c r="F203">
        <v>0</v>
      </c>
      <c r="G203" s="1">
        <v>42895</v>
      </c>
      <c r="H203" s="1">
        <v>42887</v>
      </c>
      <c r="I203" t="s">
        <v>15</v>
      </c>
      <c r="J203">
        <v>80</v>
      </c>
      <c r="K203">
        <v>14.43</v>
      </c>
      <c r="L203">
        <v>65.569999999999993</v>
      </c>
      <c r="M203">
        <v>8</v>
      </c>
      <c r="N203" t="s">
        <v>16</v>
      </c>
    </row>
    <row r="204" spans="1:14" x14ac:dyDescent="0.25">
      <c r="A204" t="s">
        <v>180</v>
      </c>
      <c r="B204">
        <v>966</v>
      </c>
      <c r="C204" s="1">
        <v>42893</v>
      </c>
      <c r="D204" t="str">
        <f>"92"</f>
        <v>92</v>
      </c>
      <c r="E204" s="1">
        <v>42855</v>
      </c>
      <c r="F204">
        <v>0</v>
      </c>
      <c r="G204" s="1">
        <v>42895</v>
      </c>
      <c r="H204" s="1">
        <v>42887</v>
      </c>
      <c r="I204" t="s">
        <v>15</v>
      </c>
      <c r="J204">
        <v>500</v>
      </c>
      <c r="K204">
        <v>90.16</v>
      </c>
      <c r="L204">
        <v>409.84</v>
      </c>
      <c r="M204">
        <v>8</v>
      </c>
      <c r="N204" t="s">
        <v>16</v>
      </c>
    </row>
    <row r="205" spans="1:14" x14ac:dyDescent="0.25">
      <c r="A205" t="s">
        <v>180</v>
      </c>
      <c r="B205">
        <v>969</v>
      </c>
      <c r="C205" s="1">
        <v>42893</v>
      </c>
      <c r="D205" t="str">
        <f>"92"</f>
        <v>92</v>
      </c>
      <c r="E205" s="1">
        <v>42855</v>
      </c>
      <c r="F205">
        <v>0</v>
      </c>
      <c r="G205" s="1">
        <v>42895</v>
      </c>
      <c r="H205" s="1">
        <v>42887</v>
      </c>
      <c r="I205" t="s">
        <v>15</v>
      </c>
      <c r="J205">
        <v>500</v>
      </c>
      <c r="K205">
        <v>90.16</v>
      </c>
      <c r="L205">
        <v>409.84</v>
      </c>
      <c r="M205">
        <v>8</v>
      </c>
      <c r="N205" t="s">
        <v>16</v>
      </c>
    </row>
    <row r="206" spans="1:14" x14ac:dyDescent="0.25">
      <c r="A206" t="s">
        <v>180</v>
      </c>
      <c r="B206">
        <v>970</v>
      </c>
      <c r="C206" s="1">
        <v>42893</v>
      </c>
      <c r="D206" t="str">
        <f>"92"</f>
        <v>92</v>
      </c>
      <c r="E206" s="1">
        <v>42855</v>
      </c>
      <c r="F206">
        <v>0</v>
      </c>
      <c r="G206" s="1">
        <v>42895</v>
      </c>
      <c r="H206" s="1">
        <v>42887</v>
      </c>
      <c r="I206" t="s">
        <v>15</v>
      </c>
      <c r="J206">
        <v>50</v>
      </c>
      <c r="K206">
        <v>9.02</v>
      </c>
      <c r="L206">
        <v>40.98</v>
      </c>
      <c r="M206">
        <v>8</v>
      </c>
      <c r="N206" t="s">
        <v>16</v>
      </c>
    </row>
    <row r="207" spans="1:14" x14ac:dyDescent="0.25">
      <c r="A207" t="s">
        <v>151</v>
      </c>
      <c r="B207">
        <v>739</v>
      </c>
      <c r="C207" s="1">
        <v>42845</v>
      </c>
      <c r="D207" t="s">
        <v>181</v>
      </c>
      <c r="E207" s="1">
        <v>42807</v>
      </c>
      <c r="F207">
        <v>0</v>
      </c>
      <c r="G207" s="1">
        <v>42846</v>
      </c>
      <c r="H207" s="1">
        <v>42838</v>
      </c>
      <c r="I207" t="s">
        <v>15</v>
      </c>
      <c r="J207">
        <v>773.12</v>
      </c>
      <c r="K207">
        <v>36.82</v>
      </c>
      <c r="L207">
        <v>736.3</v>
      </c>
      <c r="M207">
        <v>8</v>
      </c>
      <c r="N207" t="s">
        <v>153</v>
      </c>
    </row>
    <row r="208" spans="1:14" x14ac:dyDescent="0.25">
      <c r="A208" t="s">
        <v>151</v>
      </c>
      <c r="B208">
        <v>740</v>
      </c>
      <c r="C208" s="1">
        <v>42845</v>
      </c>
      <c r="D208" t="s">
        <v>182</v>
      </c>
      <c r="E208" s="1">
        <v>42807</v>
      </c>
      <c r="F208">
        <v>0</v>
      </c>
      <c r="G208" s="1">
        <v>42846</v>
      </c>
      <c r="H208" s="1">
        <v>42838</v>
      </c>
      <c r="I208" t="s">
        <v>15</v>
      </c>
      <c r="J208">
        <v>574.61</v>
      </c>
      <c r="K208">
        <v>27.36</v>
      </c>
      <c r="L208">
        <v>547.25</v>
      </c>
      <c r="M208">
        <v>8</v>
      </c>
      <c r="N208" t="s">
        <v>153</v>
      </c>
    </row>
    <row r="209" spans="1:14" x14ac:dyDescent="0.25">
      <c r="A209" t="s">
        <v>151</v>
      </c>
      <c r="B209">
        <v>727</v>
      </c>
      <c r="C209" s="1">
        <v>42845</v>
      </c>
      <c r="D209" t="s">
        <v>183</v>
      </c>
      <c r="E209" s="1">
        <v>42801</v>
      </c>
      <c r="F209">
        <v>0</v>
      </c>
      <c r="G209" s="1">
        <v>42846</v>
      </c>
      <c r="H209" s="1">
        <v>42838</v>
      </c>
      <c r="I209" t="s">
        <v>15</v>
      </c>
      <c r="J209">
        <v>271.43</v>
      </c>
      <c r="K209">
        <v>12.93</v>
      </c>
      <c r="L209">
        <v>258.5</v>
      </c>
      <c r="M209">
        <v>8</v>
      </c>
      <c r="N209" t="s">
        <v>153</v>
      </c>
    </row>
    <row r="210" spans="1:14" x14ac:dyDescent="0.25">
      <c r="A210" t="s">
        <v>31</v>
      </c>
      <c r="B210">
        <v>971</v>
      </c>
      <c r="C210" s="1">
        <v>42893</v>
      </c>
      <c r="D210" t="s">
        <v>184</v>
      </c>
      <c r="E210" s="1">
        <v>42858</v>
      </c>
      <c r="F210">
        <v>0</v>
      </c>
      <c r="G210" s="1">
        <v>42895</v>
      </c>
      <c r="H210" s="1">
        <v>42888</v>
      </c>
      <c r="I210" t="s">
        <v>15</v>
      </c>
      <c r="J210" s="2">
        <v>1551.45</v>
      </c>
      <c r="K210">
        <v>73.88</v>
      </c>
      <c r="L210" s="2">
        <v>1477.57</v>
      </c>
      <c r="M210">
        <v>7</v>
      </c>
      <c r="N210" t="s">
        <v>33</v>
      </c>
    </row>
    <row r="211" spans="1:14" x14ac:dyDescent="0.25">
      <c r="A211" t="s">
        <v>19</v>
      </c>
      <c r="B211">
        <v>1242</v>
      </c>
      <c r="C211" s="1">
        <v>42922</v>
      </c>
      <c r="D211" s="3">
        <v>43226</v>
      </c>
      <c r="E211" s="1">
        <v>42916</v>
      </c>
      <c r="F211">
        <v>0</v>
      </c>
      <c r="G211" s="1">
        <v>42923</v>
      </c>
      <c r="H211" s="1">
        <v>42916</v>
      </c>
      <c r="I211" t="s">
        <v>15</v>
      </c>
      <c r="J211">
        <v>125.07</v>
      </c>
      <c r="K211">
        <v>22.55</v>
      </c>
      <c r="L211">
        <v>102.52</v>
      </c>
      <c r="M211">
        <v>7</v>
      </c>
      <c r="N211" t="s">
        <v>20</v>
      </c>
    </row>
    <row r="212" spans="1:14" x14ac:dyDescent="0.25">
      <c r="A212" t="s">
        <v>137</v>
      </c>
      <c r="B212">
        <v>601</v>
      </c>
      <c r="C212" s="1">
        <v>42830</v>
      </c>
      <c r="D212" t="s">
        <v>185</v>
      </c>
      <c r="E212" s="1">
        <v>42794</v>
      </c>
      <c r="F212">
        <v>0</v>
      </c>
      <c r="G212" s="1">
        <v>42832</v>
      </c>
      <c r="H212" s="1">
        <v>42825</v>
      </c>
      <c r="I212" t="s">
        <v>15</v>
      </c>
      <c r="J212" s="2">
        <v>1911</v>
      </c>
      <c r="K212">
        <v>91</v>
      </c>
      <c r="L212" s="2">
        <v>1820</v>
      </c>
      <c r="M212">
        <v>7</v>
      </c>
      <c r="N212" t="s">
        <v>139</v>
      </c>
    </row>
    <row r="213" spans="1:14" x14ac:dyDescent="0.25">
      <c r="A213" t="s">
        <v>40</v>
      </c>
      <c r="B213">
        <v>2068</v>
      </c>
      <c r="C213" s="1">
        <v>43066</v>
      </c>
      <c r="D213" t="str">
        <f>"600004587786"</f>
        <v>600004587786</v>
      </c>
      <c r="E213" s="1">
        <v>43033</v>
      </c>
      <c r="F213">
        <v>0</v>
      </c>
      <c r="G213" s="1">
        <v>43067</v>
      </c>
      <c r="H213" s="1">
        <v>43061</v>
      </c>
      <c r="I213" t="s">
        <v>15</v>
      </c>
      <c r="J213">
        <v>82.03</v>
      </c>
      <c r="K213">
        <v>7.31</v>
      </c>
      <c r="L213">
        <v>74.72</v>
      </c>
      <c r="M213">
        <v>6</v>
      </c>
      <c r="N213" t="s">
        <v>41</v>
      </c>
    </row>
    <row r="214" spans="1:14" x14ac:dyDescent="0.25">
      <c r="A214" t="s">
        <v>40</v>
      </c>
      <c r="B214">
        <v>2092</v>
      </c>
      <c r="C214" s="1">
        <v>43066</v>
      </c>
      <c r="D214" t="str">
        <f>"600004587775"</f>
        <v>600004587775</v>
      </c>
      <c r="E214" s="1">
        <v>43033</v>
      </c>
      <c r="F214">
        <v>0</v>
      </c>
      <c r="G214" s="1">
        <v>43067</v>
      </c>
      <c r="H214" s="1">
        <v>43061</v>
      </c>
      <c r="I214" t="s">
        <v>15</v>
      </c>
      <c r="J214">
        <v>26.19</v>
      </c>
      <c r="K214">
        <v>2.2400000000000002</v>
      </c>
      <c r="L214">
        <v>23.95</v>
      </c>
      <c r="M214">
        <v>6</v>
      </c>
      <c r="N214" t="s">
        <v>41</v>
      </c>
    </row>
    <row r="215" spans="1:14" x14ac:dyDescent="0.25">
      <c r="A215" t="s">
        <v>40</v>
      </c>
      <c r="B215">
        <v>2084</v>
      </c>
      <c r="C215" s="1">
        <v>43066</v>
      </c>
      <c r="D215" t="str">
        <f>"600004587799"</f>
        <v>600004587799</v>
      </c>
      <c r="E215" s="1">
        <v>43033</v>
      </c>
      <c r="F215">
        <v>0</v>
      </c>
      <c r="G215" s="1">
        <v>43067</v>
      </c>
      <c r="H215" s="1">
        <v>43061</v>
      </c>
      <c r="I215" t="s">
        <v>15</v>
      </c>
      <c r="J215">
        <v>13.96</v>
      </c>
      <c r="K215">
        <v>1.27</v>
      </c>
      <c r="L215">
        <v>12.69</v>
      </c>
      <c r="M215">
        <v>6</v>
      </c>
      <c r="N215" t="s">
        <v>41</v>
      </c>
    </row>
    <row r="216" spans="1:14" x14ac:dyDescent="0.25">
      <c r="A216" t="s">
        <v>40</v>
      </c>
      <c r="B216">
        <v>2076</v>
      </c>
      <c r="C216" s="1">
        <v>43066</v>
      </c>
      <c r="D216" t="str">
        <f>"600004587778"</f>
        <v>600004587778</v>
      </c>
      <c r="E216" s="1">
        <v>43033</v>
      </c>
      <c r="F216">
        <v>0</v>
      </c>
      <c r="G216" s="1">
        <v>43067</v>
      </c>
      <c r="H216" s="1">
        <v>43061</v>
      </c>
      <c r="I216" t="s">
        <v>15</v>
      </c>
      <c r="J216">
        <v>57.54</v>
      </c>
      <c r="K216">
        <v>5.09</v>
      </c>
      <c r="L216">
        <v>52.45</v>
      </c>
      <c r="M216">
        <v>6</v>
      </c>
      <c r="N216" t="s">
        <v>41</v>
      </c>
    </row>
    <row r="217" spans="1:14" x14ac:dyDescent="0.25">
      <c r="A217" t="s">
        <v>40</v>
      </c>
      <c r="B217">
        <v>2090</v>
      </c>
      <c r="C217" s="1">
        <v>43066</v>
      </c>
      <c r="D217" t="str">
        <f>"600004587776"</f>
        <v>600004587776</v>
      </c>
      <c r="E217" s="1">
        <v>43033</v>
      </c>
      <c r="F217">
        <v>0</v>
      </c>
      <c r="G217" s="1">
        <v>43067</v>
      </c>
      <c r="H217" s="1">
        <v>43061</v>
      </c>
      <c r="I217" t="s">
        <v>15</v>
      </c>
      <c r="J217">
        <v>54.26</v>
      </c>
      <c r="K217">
        <v>4.79</v>
      </c>
      <c r="L217">
        <v>49.47</v>
      </c>
      <c r="M217">
        <v>6</v>
      </c>
      <c r="N217" t="s">
        <v>41</v>
      </c>
    </row>
    <row r="218" spans="1:14" x14ac:dyDescent="0.25">
      <c r="A218" t="s">
        <v>40</v>
      </c>
      <c r="B218">
        <v>2085</v>
      </c>
      <c r="C218" s="1">
        <v>43066</v>
      </c>
      <c r="D218" t="str">
        <f>"600004587797"</f>
        <v>600004587797</v>
      </c>
      <c r="E218" s="1">
        <v>43033</v>
      </c>
      <c r="F218">
        <v>0</v>
      </c>
      <c r="G218" s="1">
        <v>43067</v>
      </c>
      <c r="H218" s="1">
        <v>43061</v>
      </c>
      <c r="I218" t="s">
        <v>15</v>
      </c>
      <c r="J218">
        <v>11.51</v>
      </c>
      <c r="K218">
        <v>0.43</v>
      </c>
      <c r="L218">
        <v>11.08</v>
      </c>
      <c r="M218">
        <v>6</v>
      </c>
      <c r="N218" t="s">
        <v>41</v>
      </c>
    </row>
    <row r="219" spans="1:14" x14ac:dyDescent="0.25">
      <c r="A219" t="s">
        <v>40</v>
      </c>
      <c r="B219">
        <v>2091</v>
      </c>
      <c r="C219" s="1">
        <v>43066</v>
      </c>
      <c r="D219" t="str">
        <f>"600004587781"</f>
        <v>600004587781</v>
      </c>
      <c r="E219" s="1">
        <v>43033</v>
      </c>
      <c r="F219">
        <v>0</v>
      </c>
      <c r="G219" s="1">
        <v>43067</v>
      </c>
      <c r="H219" s="1">
        <v>43061</v>
      </c>
      <c r="I219" t="s">
        <v>15</v>
      </c>
      <c r="J219">
        <v>12.88</v>
      </c>
      <c r="K219">
        <v>0.46</v>
      </c>
      <c r="L219">
        <v>12.42</v>
      </c>
      <c r="M219">
        <v>6</v>
      </c>
      <c r="N219" t="s">
        <v>41</v>
      </c>
    </row>
    <row r="220" spans="1:14" x14ac:dyDescent="0.25">
      <c r="A220" t="s">
        <v>40</v>
      </c>
      <c r="B220">
        <v>2093</v>
      </c>
      <c r="C220" s="1">
        <v>43066</v>
      </c>
      <c r="D220" t="str">
        <f>"600004587789"</f>
        <v>600004587789</v>
      </c>
      <c r="E220" s="1">
        <v>43033</v>
      </c>
      <c r="F220">
        <v>0</v>
      </c>
      <c r="G220" s="1">
        <v>43067</v>
      </c>
      <c r="H220" s="1">
        <v>43061</v>
      </c>
      <c r="I220" t="s">
        <v>15</v>
      </c>
      <c r="J220">
        <v>22.46</v>
      </c>
      <c r="K220">
        <v>2.04</v>
      </c>
      <c r="L220">
        <v>20.420000000000002</v>
      </c>
      <c r="M220">
        <v>6</v>
      </c>
      <c r="N220" t="s">
        <v>41</v>
      </c>
    </row>
    <row r="221" spans="1:14" x14ac:dyDescent="0.25">
      <c r="A221" t="s">
        <v>40</v>
      </c>
      <c r="B221">
        <v>2083</v>
      </c>
      <c r="C221" s="1">
        <v>43066</v>
      </c>
      <c r="D221" t="str">
        <f>"600004587780"</f>
        <v>600004587780</v>
      </c>
      <c r="E221" s="1">
        <v>43033</v>
      </c>
      <c r="F221">
        <v>0</v>
      </c>
      <c r="G221" s="1">
        <v>43067</v>
      </c>
      <c r="H221" s="1">
        <v>43061</v>
      </c>
      <c r="I221" t="s">
        <v>15</v>
      </c>
      <c r="J221">
        <v>55.87</v>
      </c>
      <c r="K221">
        <v>4.93</v>
      </c>
      <c r="L221">
        <v>50.94</v>
      </c>
      <c r="M221">
        <v>6</v>
      </c>
      <c r="N221" t="s">
        <v>41</v>
      </c>
    </row>
    <row r="222" spans="1:14" x14ac:dyDescent="0.25">
      <c r="A222" t="s">
        <v>40</v>
      </c>
      <c r="B222">
        <v>2067</v>
      </c>
      <c r="C222" s="1">
        <v>43066</v>
      </c>
      <c r="D222" t="str">
        <f>"600004587795"</f>
        <v>600004587795</v>
      </c>
      <c r="E222" s="1">
        <v>43033</v>
      </c>
      <c r="F222">
        <v>0</v>
      </c>
      <c r="G222" s="1">
        <v>43067</v>
      </c>
      <c r="H222" s="1">
        <v>43061</v>
      </c>
      <c r="I222" t="s">
        <v>15</v>
      </c>
      <c r="J222">
        <v>0.6</v>
      </c>
      <c r="K222">
        <v>0.6</v>
      </c>
      <c r="L222">
        <v>0</v>
      </c>
      <c r="M222">
        <v>6</v>
      </c>
      <c r="N222" t="s">
        <v>41</v>
      </c>
    </row>
    <row r="223" spans="1:14" x14ac:dyDescent="0.25">
      <c r="A223" t="s">
        <v>40</v>
      </c>
      <c r="B223">
        <v>2081</v>
      </c>
      <c r="C223" s="1">
        <v>43066</v>
      </c>
      <c r="D223" t="str">
        <f>"600004587794"</f>
        <v>600004587794</v>
      </c>
      <c r="E223" s="1">
        <v>43033</v>
      </c>
      <c r="F223">
        <v>0</v>
      </c>
      <c r="G223" s="1">
        <v>43067</v>
      </c>
      <c r="H223" s="1">
        <v>43061</v>
      </c>
      <c r="I223" t="s">
        <v>15</v>
      </c>
      <c r="J223">
        <v>10.59</v>
      </c>
      <c r="K223">
        <v>0.35</v>
      </c>
      <c r="L223">
        <v>10.24</v>
      </c>
      <c r="M223">
        <v>6</v>
      </c>
      <c r="N223" t="s">
        <v>41</v>
      </c>
    </row>
    <row r="224" spans="1:14" x14ac:dyDescent="0.25">
      <c r="A224" t="s">
        <v>40</v>
      </c>
      <c r="B224">
        <v>2069</v>
      </c>
      <c r="C224" s="1">
        <v>43066</v>
      </c>
      <c r="D224" t="str">
        <f>"600004587784"</f>
        <v>600004587784</v>
      </c>
      <c r="E224" s="1">
        <v>43033</v>
      </c>
      <c r="F224">
        <v>0</v>
      </c>
      <c r="G224" s="1">
        <v>43067</v>
      </c>
      <c r="H224" s="1">
        <v>43061</v>
      </c>
      <c r="I224" t="s">
        <v>15</v>
      </c>
      <c r="J224">
        <v>22.46</v>
      </c>
      <c r="K224">
        <v>2.04</v>
      </c>
      <c r="L224">
        <v>20.420000000000002</v>
      </c>
      <c r="M224">
        <v>6</v>
      </c>
      <c r="N224" t="s">
        <v>41</v>
      </c>
    </row>
    <row r="225" spans="1:14" x14ac:dyDescent="0.25">
      <c r="A225" t="s">
        <v>40</v>
      </c>
      <c r="B225">
        <v>2079</v>
      </c>
      <c r="C225" s="1">
        <v>43066</v>
      </c>
      <c r="D225" t="str">
        <f>"600004587785"</f>
        <v>600004587785</v>
      </c>
      <c r="E225" s="1">
        <v>43033</v>
      </c>
      <c r="F225">
        <v>0</v>
      </c>
      <c r="G225" s="1">
        <v>43067</v>
      </c>
      <c r="H225" s="1">
        <v>43061</v>
      </c>
      <c r="I225" t="s">
        <v>15</v>
      </c>
      <c r="J225">
        <v>134.30000000000001</v>
      </c>
      <c r="K225">
        <v>12.06</v>
      </c>
      <c r="L225">
        <v>122.24</v>
      </c>
      <c r="M225">
        <v>6</v>
      </c>
      <c r="N225" t="s">
        <v>41</v>
      </c>
    </row>
    <row r="226" spans="1:14" x14ac:dyDescent="0.25">
      <c r="A226" t="s">
        <v>40</v>
      </c>
      <c r="B226">
        <v>2070</v>
      </c>
      <c r="C226" s="1">
        <v>43066</v>
      </c>
      <c r="D226" t="str">
        <f>"600004587777"</f>
        <v>600004587777</v>
      </c>
      <c r="E226" s="1">
        <v>43033</v>
      </c>
      <c r="F226">
        <v>0</v>
      </c>
      <c r="G226" s="1">
        <v>43067</v>
      </c>
      <c r="H226" s="1">
        <v>43061</v>
      </c>
      <c r="I226" t="s">
        <v>15</v>
      </c>
      <c r="J226">
        <v>54.26</v>
      </c>
      <c r="K226">
        <v>4.79</v>
      </c>
      <c r="L226">
        <v>49.47</v>
      </c>
      <c r="M226">
        <v>6</v>
      </c>
      <c r="N226" t="s">
        <v>41</v>
      </c>
    </row>
    <row r="227" spans="1:14" x14ac:dyDescent="0.25">
      <c r="A227" t="s">
        <v>40</v>
      </c>
      <c r="B227">
        <v>2087</v>
      </c>
      <c r="C227" s="1">
        <v>43066</v>
      </c>
      <c r="D227" t="str">
        <f>"600004587800"</f>
        <v>600004587800</v>
      </c>
      <c r="E227" s="1">
        <v>43033</v>
      </c>
      <c r="F227">
        <v>0</v>
      </c>
      <c r="G227" s="1">
        <v>43067</v>
      </c>
      <c r="H227" s="1">
        <v>43061</v>
      </c>
      <c r="I227" t="s">
        <v>15</v>
      </c>
      <c r="J227">
        <v>0.4</v>
      </c>
      <c r="K227">
        <v>0.4</v>
      </c>
      <c r="L227">
        <v>0</v>
      </c>
      <c r="M227">
        <v>6</v>
      </c>
      <c r="N227" t="s">
        <v>41</v>
      </c>
    </row>
    <row r="228" spans="1:14" x14ac:dyDescent="0.25">
      <c r="A228" t="s">
        <v>40</v>
      </c>
      <c r="B228">
        <v>2075</v>
      </c>
      <c r="C228" s="1">
        <v>43066</v>
      </c>
      <c r="D228" t="str">
        <f>"600004587792"</f>
        <v>600004587792</v>
      </c>
      <c r="E228" s="1">
        <v>43033</v>
      </c>
      <c r="F228">
        <v>0</v>
      </c>
      <c r="G228" s="1">
        <v>43067</v>
      </c>
      <c r="H228" s="1">
        <v>43061</v>
      </c>
      <c r="I228" t="s">
        <v>15</v>
      </c>
      <c r="J228">
        <v>44.43</v>
      </c>
      <c r="K228">
        <v>3.89</v>
      </c>
      <c r="L228">
        <v>40.54</v>
      </c>
      <c r="M228">
        <v>6</v>
      </c>
      <c r="N228" t="s">
        <v>41</v>
      </c>
    </row>
    <row r="229" spans="1:14" x14ac:dyDescent="0.25">
      <c r="A229" t="s">
        <v>40</v>
      </c>
      <c r="B229">
        <v>2088</v>
      </c>
      <c r="C229" s="1">
        <v>43066</v>
      </c>
      <c r="D229" t="str">
        <f>"600004587787"</f>
        <v>600004587787</v>
      </c>
      <c r="E229" s="1">
        <v>43033</v>
      </c>
      <c r="F229">
        <v>0</v>
      </c>
      <c r="G229" s="1">
        <v>43067</v>
      </c>
      <c r="H229" s="1">
        <v>43061</v>
      </c>
      <c r="I229" t="s">
        <v>15</v>
      </c>
      <c r="J229">
        <v>16.62</v>
      </c>
      <c r="K229">
        <v>1.37</v>
      </c>
      <c r="L229">
        <v>15.25</v>
      </c>
      <c r="M229">
        <v>6</v>
      </c>
      <c r="N229" t="s">
        <v>41</v>
      </c>
    </row>
    <row r="230" spans="1:14" x14ac:dyDescent="0.25">
      <c r="A230" t="s">
        <v>40</v>
      </c>
      <c r="B230">
        <v>2089</v>
      </c>
      <c r="C230" s="1">
        <v>43066</v>
      </c>
      <c r="D230" t="str">
        <f>"600004587788"</f>
        <v>600004587788</v>
      </c>
      <c r="E230" s="1">
        <v>43033</v>
      </c>
      <c r="F230">
        <v>0</v>
      </c>
      <c r="G230" s="1">
        <v>43067</v>
      </c>
      <c r="H230" s="1">
        <v>43061</v>
      </c>
      <c r="I230" t="s">
        <v>15</v>
      </c>
      <c r="J230">
        <v>13.96</v>
      </c>
      <c r="K230">
        <v>1.27</v>
      </c>
      <c r="L230">
        <v>12.69</v>
      </c>
      <c r="M230">
        <v>6</v>
      </c>
      <c r="N230" t="s">
        <v>41</v>
      </c>
    </row>
    <row r="231" spans="1:14" x14ac:dyDescent="0.25">
      <c r="A231" t="s">
        <v>40</v>
      </c>
      <c r="B231">
        <v>2086</v>
      </c>
      <c r="C231" s="1">
        <v>43066</v>
      </c>
      <c r="D231" t="str">
        <f>"600004587791"</f>
        <v>600004587791</v>
      </c>
      <c r="E231" s="1">
        <v>43033</v>
      </c>
      <c r="F231">
        <v>0</v>
      </c>
      <c r="G231" s="1">
        <v>43067</v>
      </c>
      <c r="H231" s="1">
        <v>43061</v>
      </c>
      <c r="I231" t="s">
        <v>15</v>
      </c>
      <c r="J231">
        <v>22.46</v>
      </c>
      <c r="K231">
        <v>2.04</v>
      </c>
      <c r="L231">
        <v>20.420000000000002</v>
      </c>
      <c r="M231">
        <v>6</v>
      </c>
      <c r="N231" t="s">
        <v>41</v>
      </c>
    </row>
    <row r="232" spans="1:14" x14ac:dyDescent="0.25">
      <c r="A232" t="s">
        <v>40</v>
      </c>
      <c r="B232">
        <v>2071</v>
      </c>
      <c r="C232" s="1">
        <v>43066</v>
      </c>
      <c r="D232" t="str">
        <f>"600004587790"</f>
        <v>600004587790</v>
      </c>
      <c r="E232" s="1">
        <v>43033</v>
      </c>
      <c r="F232">
        <v>0</v>
      </c>
      <c r="G232" s="1">
        <v>43067</v>
      </c>
      <c r="H232" s="1">
        <v>43061</v>
      </c>
      <c r="I232" t="s">
        <v>15</v>
      </c>
      <c r="J232">
        <v>16.670000000000002</v>
      </c>
      <c r="K232">
        <v>1.37</v>
      </c>
      <c r="L232">
        <v>15.3</v>
      </c>
      <c r="M232">
        <v>6</v>
      </c>
      <c r="N232" t="s">
        <v>41</v>
      </c>
    </row>
    <row r="233" spans="1:14" x14ac:dyDescent="0.25">
      <c r="A233" t="s">
        <v>40</v>
      </c>
      <c r="B233">
        <v>2080</v>
      </c>
      <c r="C233" s="1">
        <v>43066</v>
      </c>
      <c r="D233" t="str">
        <f>"600004587798"</f>
        <v>600004587798</v>
      </c>
      <c r="E233" s="1">
        <v>43033</v>
      </c>
      <c r="F233">
        <v>0</v>
      </c>
      <c r="G233" s="1">
        <v>43067</v>
      </c>
      <c r="H233" s="1">
        <v>43061</v>
      </c>
      <c r="I233" t="s">
        <v>15</v>
      </c>
      <c r="J233">
        <v>10.59</v>
      </c>
      <c r="K233">
        <v>0.35</v>
      </c>
      <c r="L233">
        <v>10.24</v>
      </c>
      <c r="M233">
        <v>6</v>
      </c>
      <c r="N233" t="s">
        <v>41</v>
      </c>
    </row>
    <row r="234" spans="1:14" x14ac:dyDescent="0.25">
      <c r="A234" t="s">
        <v>40</v>
      </c>
      <c r="B234">
        <v>2077</v>
      </c>
      <c r="C234" s="1">
        <v>43066</v>
      </c>
      <c r="D234" t="str">
        <f>"600004587796"</f>
        <v>600004587796</v>
      </c>
      <c r="E234" s="1">
        <v>43033</v>
      </c>
      <c r="F234">
        <v>0</v>
      </c>
      <c r="G234" s="1">
        <v>43067</v>
      </c>
      <c r="H234" s="1">
        <v>43061</v>
      </c>
      <c r="I234" t="s">
        <v>15</v>
      </c>
      <c r="J234">
        <v>15.94</v>
      </c>
      <c r="K234">
        <v>0.6</v>
      </c>
      <c r="L234">
        <v>15.34</v>
      </c>
      <c r="M234">
        <v>6</v>
      </c>
      <c r="N234" t="s">
        <v>41</v>
      </c>
    </row>
    <row r="235" spans="1:14" x14ac:dyDescent="0.25">
      <c r="A235" t="s">
        <v>40</v>
      </c>
      <c r="B235">
        <v>2082</v>
      </c>
      <c r="C235" s="1">
        <v>43066</v>
      </c>
      <c r="D235" t="str">
        <f>"600004587783"</f>
        <v>600004587783</v>
      </c>
      <c r="E235" s="1">
        <v>43033</v>
      </c>
      <c r="F235">
        <v>0</v>
      </c>
      <c r="G235" s="1">
        <v>43067</v>
      </c>
      <c r="H235" s="1">
        <v>43061</v>
      </c>
      <c r="I235" t="s">
        <v>15</v>
      </c>
      <c r="J235">
        <v>11.51</v>
      </c>
      <c r="K235">
        <v>0.43</v>
      </c>
      <c r="L235">
        <v>11.08</v>
      </c>
      <c r="M235">
        <v>6</v>
      </c>
      <c r="N235" t="s">
        <v>41</v>
      </c>
    </row>
    <row r="236" spans="1:14" x14ac:dyDescent="0.25">
      <c r="A236" t="s">
        <v>40</v>
      </c>
      <c r="B236">
        <v>2078</v>
      </c>
      <c r="C236" s="1">
        <v>43066</v>
      </c>
      <c r="D236" t="str">
        <f>"600004587793"</f>
        <v>600004587793</v>
      </c>
      <c r="E236" s="1">
        <v>43033</v>
      </c>
      <c r="F236">
        <v>0</v>
      </c>
      <c r="G236" s="1">
        <v>43067</v>
      </c>
      <c r="H236" s="1">
        <v>43061</v>
      </c>
      <c r="I236" t="s">
        <v>15</v>
      </c>
      <c r="J236">
        <v>0.32</v>
      </c>
      <c r="K236">
        <v>0.32</v>
      </c>
      <c r="L236">
        <v>0</v>
      </c>
      <c r="M236">
        <v>6</v>
      </c>
      <c r="N236" t="s">
        <v>41</v>
      </c>
    </row>
    <row r="237" spans="1:14" x14ac:dyDescent="0.25">
      <c r="A237" t="s">
        <v>40</v>
      </c>
      <c r="B237">
        <v>2072</v>
      </c>
      <c r="C237" s="1">
        <v>43066</v>
      </c>
      <c r="D237" t="str">
        <f>"600004587779"</f>
        <v>600004587779</v>
      </c>
      <c r="E237" s="1">
        <v>43033</v>
      </c>
      <c r="F237">
        <v>0</v>
      </c>
      <c r="G237" s="1">
        <v>43067</v>
      </c>
      <c r="H237" s="1">
        <v>43061</v>
      </c>
      <c r="I237" t="s">
        <v>15</v>
      </c>
      <c r="J237">
        <v>24.84</v>
      </c>
      <c r="K237">
        <v>2.11</v>
      </c>
      <c r="L237">
        <v>22.73</v>
      </c>
      <c r="M237">
        <v>6</v>
      </c>
      <c r="N237" t="s">
        <v>41</v>
      </c>
    </row>
    <row r="238" spans="1:14" x14ac:dyDescent="0.25">
      <c r="A238" t="s">
        <v>40</v>
      </c>
      <c r="B238">
        <v>2073</v>
      </c>
      <c r="C238" s="1">
        <v>43066</v>
      </c>
      <c r="D238" t="str">
        <f>"600004587782"</f>
        <v>600004587782</v>
      </c>
      <c r="E238" s="1">
        <v>43033</v>
      </c>
      <c r="F238">
        <v>0</v>
      </c>
      <c r="G238" s="1">
        <v>43067</v>
      </c>
      <c r="H238" s="1">
        <v>43061</v>
      </c>
      <c r="I238" t="s">
        <v>15</v>
      </c>
      <c r="J238">
        <v>0.35</v>
      </c>
      <c r="K238">
        <v>0.35</v>
      </c>
      <c r="L238">
        <v>0</v>
      </c>
      <c r="M238">
        <v>6</v>
      </c>
      <c r="N238" t="s">
        <v>41</v>
      </c>
    </row>
    <row r="239" spans="1:14" x14ac:dyDescent="0.25">
      <c r="A239" t="s">
        <v>40</v>
      </c>
      <c r="B239">
        <v>2074</v>
      </c>
      <c r="C239" s="1">
        <v>43066</v>
      </c>
      <c r="D239" t="str">
        <f>"600004587801"</f>
        <v>600004587801</v>
      </c>
      <c r="E239" s="1">
        <v>43033</v>
      </c>
      <c r="F239">
        <v>0</v>
      </c>
      <c r="G239" s="1">
        <v>43067</v>
      </c>
      <c r="H239" s="1">
        <v>43061</v>
      </c>
      <c r="I239" t="s">
        <v>15</v>
      </c>
      <c r="J239">
        <v>27.07</v>
      </c>
      <c r="K239">
        <v>2.46</v>
      </c>
      <c r="L239">
        <v>24.61</v>
      </c>
      <c r="M239">
        <v>6</v>
      </c>
      <c r="N239" t="s">
        <v>41</v>
      </c>
    </row>
    <row r="240" spans="1:14" x14ac:dyDescent="0.25">
      <c r="A240" t="s">
        <v>17</v>
      </c>
      <c r="B240">
        <v>2203</v>
      </c>
      <c r="C240" s="1">
        <v>43075</v>
      </c>
      <c r="D240" t="str">
        <f>"14146"</f>
        <v>14146</v>
      </c>
      <c r="E240" s="1">
        <v>43039</v>
      </c>
      <c r="F240">
        <v>0</v>
      </c>
      <c r="G240" s="1">
        <v>43075</v>
      </c>
      <c r="H240" s="1">
        <v>43069</v>
      </c>
      <c r="I240" t="s">
        <v>15</v>
      </c>
      <c r="J240">
        <v>131.76</v>
      </c>
      <c r="K240">
        <v>23.76</v>
      </c>
      <c r="L240">
        <v>108</v>
      </c>
      <c r="M240">
        <v>6</v>
      </c>
      <c r="N240" t="s">
        <v>18</v>
      </c>
    </row>
    <row r="241" spans="1:14" x14ac:dyDescent="0.25">
      <c r="A241" t="s">
        <v>17</v>
      </c>
      <c r="B241">
        <v>2233</v>
      </c>
      <c r="C241" s="1">
        <v>43075</v>
      </c>
      <c r="D241" t="str">
        <f>"14015"</f>
        <v>14015</v>
      </c>
      <c r="E241" s="1">
        <v>43039</v>
      </c>
      <c r="F241">
        <v>0</v>
      </c>
      <c r="G241" s="1">
        <v>43075</v>
      </c>
      <c r="H241" s="1">
        <v>43069</v>
      </c>
      <c r="I241" t="s">
        <v>15</v>
      </c>
      <c r="J241">
        <v>379.6</v>
      </c>
      <c r="K241">
        <v>14.6</v>
      </c>
      <c r="L241">
        <v>365</v>
      </c>
      <c r="M241">
        <v>6</v>
      </c>
      <c r="N241" t="s">
        <v>18</v>
      </c>
    </row>
    <row r="242" spans="1:14" x14ac:dyDescent="0.25">
      <c r="A242" t="s">
        <v>64</v>
      </c>
      <c r="B242">
        <v>2106</v>
      </c>
      <c r="C242" s="1">
        <v>43066</v>
      </c>
      <c r="D242" t="s">
        <v>186</v>
      </c>
      <c r="E242" s="1">
        <v>43041</v>
      </c>
      <c r="F242">
        <v>0</v>
      </c>
      <c r="G242" s="1">
        <v>43067</v>
      </c>
      <c r="H242" s="1">
        <v>43061</v>
      </c>
      <c r="I242" t="s">
        <v>15</v>
      </c>
      <c r="J242">
        <v>626.92999999999995</v>
      </c>
      <c r="K242">
        <v>113.05</v>
      </c>
      <c r="L242">
        <v>513.88</v>
      </c>
      <c r="M242">
        <v>6</v>
      </c>
      <c r="N242" t="s">
        <v>27</v>
      </c>
    </row>
    <row r="243" spans="1:14" x14ac:dyDescent="0.25">
      <c r="A243" t="s">
        <v>64</v>
      </c>
      <c r="B243">
        <v>2107</v>
      </c>
      <c r="C243" s="1">
        <v>43066</v>
      </c>
      <c r="D243" t="s">
        <v>187</v>
      </c>
      <c r="E243" s="1">
        <v>43041</v>
      </c>
      <c r="F243">
        <v>0</v>
      </c>
      <c r="G243" s="1">
        <v>43067</v>
      </c>
      <c r="H243" s="1">
        <v>43061</v>
      </c>
      <c r="I243" t="s">
        <v>15</v>
      </c>
      <c r="J243">
        <v>423</v>
      </c>
      <c r="K243">
        <v>48.45</v>
      </c>
      <c r="L243">
        <v>374.55</v>
      </c>
      <c r="M243">
        <v>6</v>
      </c>
      <c r="N243" t="s">
        <v>27</v>
      </c>
    </row>
    <row r="244" spans="1:14" x14ac:dyDescent="0.25">
      <c r="A244" t="s">
        <v>64</v>
      </c>
      <c r="B244">
        <v>2113</v>
      </c>
      <c r="C244" s="1">
        <v>43066</v>
      </c>
      <c r="D244" t="s">
        <v>187</v>
      </c>
      <c r="E244" s="1">
        <v>43041</v>
      </c>
      <c r="F244">
        <v>0</v>
      </c>
      <c r="G244" s="1">
        <v>43067</v>
      </c>
      <c r="H244" s="1">
        <v>43061</v>
      </c>
      <c r="I244" t="s">
        <v>15</v>
      </c>
      <c r="J244">
        <v>222.59</v>
      </c>
      <c r="K244">
        <v>25.49</v>
      </c>
      <c r="L244">
        <v>197.1</v>
      </c>
      <c r="M244">
        <v>6</v>
      </c>
      <c r="N244" t="s">
        <v>27</v>
      </c>
    </row>
    <row r="245" spans="1:14" x14ac:dyDescent="0.25">
      <c r="A245" t="s">
        <v>64</v>
      </c>
      <c r="B245">
        <v>2105</v>
      </c>
      <c r="C245" s="1">
        <v>43066</v>
      </c>
      <c r="D245" t="s">
        <v>188</v>
      </c>
      <c r="E245" s="1">
        <v>43041</v>
      </c>
      <c r="F245">
        <v>0</v>
      </c>
      <c r="G245" s="1">
        <v>43067</v>
      </c>
      <c r="H245" s="1">
        <v>43061</v>
      </c>
      <c r="I245" t="s">
        <v>15</v>
      </c>
      <c r="J245">
        <v>559.22</v>
      </c>
      <c r="K245">
        <v>100.84</v>
      </c>
      <c r="L245">
        <v>458.38</v>
      </c>
      <c r="M245">
        <v>6</v>
      </c>
      <c r="N245" t="s">
        <v>27</v>
      </c>
    </row>
    <row r="246" spans="1:14" x14ac:dyDescent="0.25">
      <c r="A246" t="s">
        <v>64</v>
      </c>
      <c r="B246">
        <v>2111</v>
      </c>
      <c r="C246" s="1">
        <v>43066</v>
      </c>
      <c r="D246" t="s">
        <v>187</v>
      </c>
      <c r="E246" s="1">
        <v>43041</v>
      </c>
      <c r="F246">
        <v>0</v>
      </c>
      <c r="G246" s="1">
        <v>43067</v>
      </c>
      <c r="H246" s="1">
        <v>43061</v>
      </c>
      <c r="I246" t="s">
        <v>15</v>
      </c>
      <c r="J246">
        <v>344.66</v>
      </c>
      <c r="K246">
        <v>39.47</v>
      </c>
      <c r="L246">
        <v>305.19</v>
      </c>
      <c r="M246">
        <v>6</v>
      </c>
      <c r="N246" t="s">
        <v>27</v>
      </c>
    </row>
    <row r="247" spans="1:14" x14ac:dyDescent="0.25">
      <c r="A247" t="s">
        <v>64</v>
      </c>
      <c r="B247">
        <v>2109</v>
      </c>
      <c r="C247" s="1">
        <v>43066</v>
      </c>
      <c r="D247" t="s">
        <v>187</v>
      </c>
      <c r="E247" s="1">
        <v>43041</v>
      </c>
      <c r="F247">
        <v>0</v>
      </c>
      <c r="G247" s="1">
        <v>43067</v>
      </c>
      <c r="H247" s="1">
        <v>43061</v>
      </c>
      <c r="I247" t="s">
        <v>15</v>
      </c>
      <c r="J247">
        <v>93.15</v>
      </c>
      <c r="K247">
        <v>10.67</v>
      </c>
      <c r="L247">
        <v>82.48</v>
      </c>
      <c r="M247">
        <v>6</v>
      </c>
      <c r="N247" t="s">
        <v>27</v>
      </c>
    </row>
    <row r="248" spans="1:14" x14ac:dyDescent="0.25">
      <c r="A248" t="s">
        <v>64</v>
      </c>
      <c r="B248">
        <v>2108</v>
      </c>
      <c r="C248" s="1">
        <v>43066</v>
      </c>
      <c r="D248" t="s">
        <v>187</v>
      </c>
      <c r="E248" s="1">
        <v>43041</v>
      </c>
      <c r="F248">
        <v>0</v>
      </c>
      <c r="G248" s="1">
        <v>43067</v>
      </c>
      <c r="H248" s="1">
        <v>43061</v>
      </c>
      <c r="I248" t="s">
        <v>15</v>
      </c>
      <c r="J248">
        <v>108.85</v>
      </c>
      <c r="K248">
        <v>12.47</v>
      </c>
      <c r="L248">
        <v>96.38</v>
      </c>
      <c r="M248">
        <v>6</v>
      </c>
      <c r="N248" t="s">
        <v>27</v>
      </c>
    </row>
    <row r="249" spans="1:14" x14ac:dyDescent="0.25">
      <c r="A249" t="s">
        <v>64</v>
      </c>
      <c r="B249">
        <v>2112</v>
      </c>
      <c r="C249" s="1">
        <v>43066</v>
      </c>
      <c r="D249" t="s">
        <v>187</v>
      </c>
      <c r="E249" s="1">
        <v>43041</v>
      </c>
      <c r="F249">
        <v>0</v>
      </c>
      <c r="G249" s="1">
        <v>43067</v>
      </c>
      <c r="H249" s="1">
        <v>43061</v>
      </c>
      <c r="I249" t="s">
        <v>15</v>
      </c>
      <c r="J249">
        <v>59.81</v>
      </c>
      <c r="K249">
        <v>6.85</v>
      </c>
      <c r="L249">
        <v>52.96</v>
      </c>
      <c r="M249">
        <v>6</v>
      </c>
      <c r="N249" t="s">
        <v>27</v>
      </c>
    </row>
    <row r="250" spans="1:14" x14ac:dyDescent="0.25">
      <c r="A250" t="s">
        <v>64</v>
      </c>
      <c r="B250">
        <v>2110</v>
      </c>
      <c r="C250" s="1">
        <v>43066</v>
      </c>
      <c r="D250" t="s">
        <v>187</v>
      </c>
      <c r="E250" s="1">
        <v>43041</v>
      </c>
      <c r="F250">
        <v>0</v>
      </c>
      <c r="G250" s="1">
        <v>43067</v>
      </c>
      <c r="H250" s="1">
        <v>43061</v>
      </c>
      <c r="I250" t="s">
        <v>15</v>
      </c>
      <c r="J250" s="2">
        <v>1892.33</v>
      </c>
      <c r="K250">
        <v>216.72</v>
      </c>
      <c r="L250" s="2">
        <v>1675.61</v>
      </c>
      <c r="M250">
        <v>6</v>
      </c>
      <c r="N250" t="s">
        <v>27</v>
      </c>
    </row>
    <row r="251" spans="1:14" x14ac:dyDescent="0.25">
      <c r="A251" t="s">
        <v>64</v>
      </c>
      <c r="B251">
        <v>2114</v>
      </c>
      <c r="C251" s="1">
        <v>43066</v>
      </c>
      <c r="D251" t="s">
        <v>187</v>
      </c>
      <c r="E251" s="1">
        <v>43041</v>
      </c>
      <c r="F251">
        <v>0</v>
      </c>
      <c r="G251" s="1">
        <v>43067</v>
      </c>
      <c r="H251" s="1">
        <v>43061</v>
      </c>
      <c r="I251" t="s">
        <v>15</v>
      </c>
      <c r="J251">
        <v>72.739999999999995</v>
      </c>
      <c r="K251">
        <v>8.33</v>
      </c>
      <c r="L251">
        <v>64.41</v>
      </c>
      <c r="M251">
        <v>6</v>
      </c>
      <c r="N251" t="s">
        <v>27</v>
      </c>
    </row>
    <row r="252" spans="1:14" x14ac:dyDescent="0.25">
      <c r="A252" t="s">
        <v>64</v>
      </c>
      <c r="B252">
        <v>2104</v>
      </c>
      <c r="C252" s="1">
        <v>43066</v>
      </c>
      <c r="D252" t="s">
        <v>187</v>
      </c>
      <c r="E252" s="1">
        <v>43041</v>
      </c>
      <c r="F252">
        <v>0</v>
      </c>
      <c r="G252" s="1">
        <v>43067</v>
      </c>
      <c r="H252" s="1">
        <v>43061</v>
      </c>
      <c r="I252" t="s">
        <v>15</v>
      </c>
      <c r="J252">
        <v>366.02</v>
      </c>
      <c r="K252">
        <v>41.92</v>
      </c>
      <c r="L252">
        <v>324.10000000000002</v>
      </c>
      <c r="M252">
        <v>6</v>
      </c>
      <c r="N252" t="s">
        <v>27</v>
      </c>
    </row>
    <row r="253" spans="1:14" x14ac:dyDescent="0.25">
      <c r="A253" t="s">
        <v>57</v>
      </c>
      <c r="B253">
        <v>2062</v>
      </c>
      <c r="C253" s="1">
        <v>43059</v>
      </c>
      <c r="D253" t="s">
        <v>189</v>
      </c>
      <c r="E253" s="1">
        <v>43024</v>
      </c>
      <c r="F253">
        <v>0</v>
      </c>
      <c r="G253" s="1">
        <v>43059</v>
      </c>
      <c r="H253" s="1">
        <v>43054</v>
      </c>
      <c r="I253" t="s">
        <v>15</v>
      </c>
      <c r="J253">
        <v>1.92</v>
      </c>
      <c r="K253">
        <v>1.92</v>
      </c>
      <c r="L253">
        <v>0</v>
      </c>
      <c r="M253">
        <v>5</v>
      </c>
      <c r="N253" t="s">
        <v>59</v>
      </c>
    </row>
    <row r="254" spans="1:14" x14ac:dyDescent="0.25">
      <c r="A254" t="s">
        <v>64</v>
      </c>
      <c r="B254">
        <v>429</v>
      </c>
      <c r="C254" s="1">
        <v>42802</v>
      </c>
      <c r="D254" t="s">
        <v>190</v>
      </c>
      <c r="E254" s="1">
        <v>42780</v>
      </c>
      <c r="F254">
        <v>0</v>
      </c>
      <c r="G254" s="1">
        <v>42804</v>
      </c>
      <c r="H254" s="1">
        <v>42800</v>
      </c>
      <c r="I254" t="s">
        <v>15</v>
      </c>
      <c r="J254">
        <v>243.02</v>
      </c>
      <c r="K254">
        <v>43.82</v>
      </c>
      <c r="L254">
        <v>199.2</v>
      </c>
      <c r="M254">
        <v>4</v>
      </c>
      <c r="N254" t="s">
        <v>16</v>
      </c>
    </row>
    <row r="255" spans="1:14" x14ac:dyDescent="0.25">
      <c r="A255" t="s">
        <v>57</v>
      </c>
      <c r="B255">
        <v>2326</v>
      </c>
      <c r="C255" s="1">
        <v>43088</v>
      </c>
      <c r="D255" t="s">
        <v>191</v>
      </c>
      <c r="E255" s="1">
        <v>43054</v>
      </c>
      <c r="F255">
        <v>0</v>
      </c>
      <c r="G255" s="1">
        <v>43088</v>
      </c>
      <c r="H255" s="1">
        <v>43084</v>
      </c>
      <c r="I255" t="s">
        <v>15</v>
      </c>
      <c r="J255">
        <v>385</v>
      </c>
      <c r="K255">
        <v>69.430000000000007</v>
      </c>
      <c r="L255">
        <v>315.57</v>
      </c>
      <c r="M255">
        <v>4</v>
      </c>
      <c r="N255" t="s">
        <v>59</v>
      </c>
    </row>
    <row r="256" spans="1:14" x14ac:dyDescent="0.25">
      <c r="A256" t="s">
        <v>40</v>
      </c>
      <c r="B256">
        <v>578</v>
      </c>
      <c r="C256" s="1">
        <v>42821</v>
      </c>
      <c r="D256" t="str">
        <f t="shared" ref="D256:D265" si="0">"600004268989"</f>
        <v>600004268989</v>
      </c>
      <c r="E256" s="1">
        <v>42790</v>
      </c>
      <c r="F256">
        <v>0</v>
      </c>
      <c r="G256" s="1">
        <v>42821</v>
      </c>
      <c r="H256" s="1">
        <v>42818</v>
      </c>
      <c r="I256" t="s">
        <v>15</v>
      </c>
      <c r="J256">
        <v>34.1</v>
      </c>
      <c r="K256">
        <v>3.1</v>
      </c>
      <c r="L256">
        <v>31</v>
      </c>
      <c r="M256">
        <v>3</v>
      </c>
      <c r="N256" t="s">
        <v>41</v>
      </c>
    </row>
    <row r="257" spans="1:14" x14ac:dyDescent="0.25">
      <c r="A257" t="s">
        <v>40</v>
      </c>
      <c r="B257">
        <v>579</v>
      </c>
      <c r="C257" s="1">
        <v>42821</v>
      </c>
      <c r="D257" t="str">
        <f t="shared" si="0"/>
        <v>600004268989</v>
      </c>
      <c r="E257" s="1">
        <v>42790</v>
      </c>
      <c r="F257">
        <v>0</v>
      </c>
      <c r="G257" s="1">
        <v>42821</v>
      </c>
      <c r="H257" s="1">
        <v>42818</v>
      </c>
      <c r="I257" t="s">
        <v>15</v>
      </c>
      <c r="J257">
        <v>238.54</v>
      </c>
      <c r="K257">
        <v>21.66</v>
      </c>
      <c r="L257">
        <v>216.88</v>
      </c>
      <c r="M257">
        <v>3</v>
      </c>
      <c r="N257" t="s">
        <v>41</v>
      </c>
    </row>
    <row r="258" spans="1:14" x14ac:dyDescent="0.25">
      <c r="A258" t="s">
        <v>40</v>
      </c>
      <c r="B258">
        <v>574</v>
      </c>
      <c r="C258" s="1">
        <v>42821</v>
      </c>
      <c r="D258" t="str">
        <f t="shared" si="0"/>
        <v>600004268989</v>
      </c>
      <c r="E258" s="1">
        <v>42790</v>
      </c>
      <c r="F258">
        <v>0</v>
      </c>
      <c r="G258" s="1">
        <v>42821</v>
      </c>
      <c r="H258" s="1">
        <v>42818</v>
      </c>
      <c r="I258" t="s">
        <v>15</v>
      </c>
      <c r="J258">
        <v>81.63</v>
      </c>
      <c r="K258">
        <v>7.41</v>
      </c>
      <c r="L258">
        <v>74.22</v>
      </c>
      <c r="M258">
        <v>3</v>
      </c>
      <c r="N258" t="s">
        <v>41</v>
      </c>
    </row>
    <row r="259" spans="1:14" x14ac:dyDescent="0.25">
      <c r="A259" t="s">
        <v>40</v>
      </c>
      <c r="B259">
        <v>580</v>
      </c>
      <c r="C259" s="1">
        <v>42821</v>
      </c>
      <c r="D259" t="str">
        <f t="shared" si="0"/>
        <v>600004268989</v>
      </c>
      <c r="E259" s="1">
        <v>42790</v>
      </c>
      <c r="F259">
        <v>0</v>
      </c>
      <c r="G259" s="1">
        <v>42821</v>
      </c>
      <c r="H259" s="1">
        <v>42818</v>
      </c>
      <c r="I259" t="s">
        <v>15</v>
      </c>
      <c r="J259">
        <v>58.75</v>
      </c>
      <c r="K259">
        <v>5.33</v>
      </c>
      <c r="L259">
        <v>53.42</v>
      </c>
      <c r="M259">
        <v>3</v>
      </c>
      <c r="N259" t="s">
        <v>41</v>
      </c>
    </row>
    <row r="260" spans="1:14" x14ac:dyDescent="0.25">
      <c r="A260" t="s">
        <v>40</v>
      </c>
      <c r="B260">
        <v>576</v>
      </c>
      <c r="C260" s="1">
        <v>42821</v>
      </c>
      <c r="D260" t="str">
        <f t="shared" si="0"/>
        <v>600004268989</v>
      </c>
      <c r="E260" s="1">
        <v>42790</v>
      </c>
      <c r="F260">
        <v>0</v>
      </c>
      <c r="G260" s="1">
        <v>42821</v>
      </c>
      <c r="H260" s="1">
        <v>42818</v>
      </c>
      <c r="I260" t="s">
        <v>15</v>
      </c>
      <c r="J260">
        <v>425.97</v>
      </c>
      <c r="K260">
        <v>38.67</v>
      </c>
      <c r="L260">
        <v>387.3</v>
      </c>
      <c r="M260">
        <v>3</v>
      </c>
      <c r="N260" t="s">
        <v>41</v>
      </c>
    </row>
    <row r="261" spans="1:14" x14ac:dyDescent="0.25">
      <c r="A261" t="s">
        <v>40</v>
      </c>
      <c r="B261">
        <v>573</v>
      </c>
      <c r="C261" s="1">
        <v>42821</v>
      </c>
      <c r="D261" t="str">
        <f t="shared" si="0"/>
        <v>600004268989</v>
      </c>
      <c r="E261" s="1">
        <v>42790</v>
      </c>
      <c r="F261">
        <v>0</v>
      </c>
      <c r="G261" s="1">
        <v>42821</v>
      </c>
      <c r="H261" s="1">
        <v>42818</v>
      </c>
      <c r="I261" t="s">
        <v>15</v>
      </c>
      <c r="J261">
        <v>52.34</v>
      </c>
      <c r="K261">
        <v>4.75</v>
      </c>
      <c r="L261">
        <v>47.59</v>
      </c>
      <c r="M261">
        <v>3</v>
      </c>
      <c r="N261" t="s">
        <v>41</v>
      </c>
    </row>
    <row r="262" spans="1:14" x14ac:dyDescent="0.25">
      <c r="A262" t="s">
        <v>40</v>
      </c>
      <c r="B262">
        <v>575</v>
      </c>
      <c r="C262" s="1">
        <v>42821</v>
      </c>
      <c r="D262" t="str">
        <f t="shared" si="0"/>
        <v>600004268989</v>
      </c>
      <c r="E262" s="1">
        <v>42790</v>
      </c>
      <c r="F262">
        <v>0</v>
      </c>
      <c r="G262" s="1">
        <v>42821</v>
      </c>
      <c r="H262" s="1">
        <v>42818</v>
      </c>
      <c r="I262" t="s">
        <v>15</v>
      </c>
      <c r="J262">
        <v>89.61</v>
      </c>
      <c r="K262">
        <v>8.1300000000000008</v>
      </c>
      <c r="L262">
        <v>81.48</v>
      </c>
      <c r="M262">
        <v>3</v>
      </c>
      <c r="N262" t="s">
        <v>41</v>
      </c>
    </row>
    <row r="263" spans="1:14" x14ac:dyDescent="0.25">
      <c r="A263" t="s">
        <v>40</v>
      </c>
      <c r="B263">
        <v>577</v>
      </c>
      <c r="C263" s="1">
        <v>42821</v>
      </c>
      <c r="D263" t="str">
        <f t="shared" si="0"/>
        <v>600004268989</v>
      </c>
      <c r="E263" s="1">
        <v>42790</v>
      </c>
      <c r="F263">
        <v>0</v>
      </c>
      <c r="G263" s="1">
        <v>42821</v>
      </c>
      <c r="H263" s="1">
        <v>42818</v>
      </c>
      <c r="I263" t="s">
        <v>15</v>
      </c>
      <c r="J263">
        <v>61.6</v>
      </c>
      <c r="K263">
        <v>5.59</v>
      </c>
      <c r="L263">
        <v>56.01</v>
      </c>
      <c r="M263">
        <v>3</v>
      </c>
      <c r="N263" t="s">
        <v>41</v>
      </c>
    </row>
    <row r="264" spans="1:14" x14ac:dyDescent="0.25">
      <c r="A264" t="s">
        <v>40</v>
      </c>
      <c r="B264">
        <v>581</v>
      </c>
      <c r="C264" s="1">
        <v>42821</v>
      </c>
      <c r="D264" t="str">
        <f t="shared" si="0"/>
        <v>600004268989</v>
      </c>
      <c r="E264" s="1">
        <v>42790</v>
      </c>
      <c r="F264">
        <v>0</v>
      </c>
      <c r="G264" s="1">
        <v>42821</v>
      </c>
      <c r="H264" s="1">
        <v>42818</v>
      </c>
      <c r="I264" t="s">
        <v>15</v>
      </c>
      <c r="J264">
        <v>29.64</v>
      </c>
      <c r="K264">
        <v>2.69</v>
      </c>
      <c r="L264">
        <v>26.95</v>
      </c>
      <c r="M264">
        <v>3</v>
      </c>
      <c r="N264" t="s">
        <v>41</v>
      </c>
    </row>
    <row r="265" spans="1:14" x14ac:dyDescent="0.25">
      <c r="A265" t="s">
        <v>40</v>
      </c>
      <c r="B265">
        <v>582</v>
      </c>
      <c r="C265" s="1">
        <v>42821</v>
      </c>
      <c r="D265" t="str">
        <f t="shared" si="0"/>
        <v>600004268989</v>
      </c>
      <c r="E265" s="1">
        <v>42790</v>
      </c>
      <c r="F265">
        <v>0</v>
      </c>
      <c r="G265" s="1">
        <v>42821</v>
      </c>
      <c r="H265" s="1">
        <v>42818</v>
      </c>
      <c r="I265" t="s">
        <v>15</v>
      </c>
      <c r="J265">
        <v>7.18</v>
      </c>
      <c r="K265">
        <v>0.65</v>
      </c>
      <c r="L265">
        <v>6.53</v>
      </c>
      <c r="M265">
        <v>3</v>
      </c>
      <c r="N265" t="s">
        <v>41</v>
      </c>
    </row>
    <row r="266" spans="1:14" x14ac:dyDescent="0.25">
      <c r="A266" t="s">
        <v>64</v>
      </c>
      <c r="B266">
        <v>241</v>
      </c>
      <c r="C266" s="1">
        <v>42775</v>
      </c>
      <c r="D266" t="s">
        <v>192</v>
      </c>
      <c r="E266" s="1">
        <v>42753</v>
      </c>
      <c r="F266">
        <v>0</v>
      </c>
      <c r="G266" s="1">
        <v>42776</v>
      </c>
      <c r="H266" s="1">
        <v>42773</v>
      </c>
      <c r="I266" t="s">
        <v>15</v>
      </c>
      <c r="J266">
        <v>95.54</v>
      </c>
      <c r="K266">
        <v>17.23</v>
      </c>
      <c r="L266">
        <v>78.31</v>
      </c>
      <c r="M266">
        <v>3</v>
      </c>
      <c r="N266" t="s">
        <v>16</v>
      </c>
    </row>
    <row r="267" spans="1:14" x14ac:dyDescent="0.25">
      <c r="A267" t="s">
        <v>64</v>
      </c>
      <c r="B267">
        <v>1880</v>
      </c>
      <c r="C267" s="1">
        <v>43032</v>
      </c>
      <c r="D267" t="s">
        <v>193</v>
      </c>
      <c r="E267" s="1">
        <v>43010</v>
      </c>
      <c r="F267">
        <v>0</v>
      </c>
      <c r="G267" s="1">
        <v>43034</v>
      </c>
      <c r="H267" s="1">
        <v>43031</v>
      </c>
      <c r="I267" t="s">
        <v>15</v>
      </c>
      <c r="J267">
        <v>635.33000000000004</v>
      </c>
      <c r="K267">
        <v>114.57</v>
      </c>
      <c r="L267">
        <v>520.76</v>
      </c>
      <c r="M267">
        <v>3</v>
      </c>
      <c r="N267" t="s">
        <v>27</v>
      </c>
    </row>
    <row r="268" spans="1:14" x14ac:dyDescent="0.25">
      <c r="A268" t="s">
        <v>64</v>
      </c>
      <c r="B268">
        <v>1881</v>
      </c>
      <c r="C268" s="1">
        <v>43032</v>
      </c>
      <c r="D268" t="s">
        <v>194</v>
      </c>
      <c r="E268" s="1">
        <v>43010</v>
      </c>
      <c r="F268">
        <v>0</v>
      </c>
      <c r="G268" s="1">
        <v>43034</v>
      </c>
      <c r="H268" s="1">
        <v>43031</v>
      </c>
      <c r="I268" t="s">
        <v>15</v>
      </c>
      <c r="J268">
        <v>785.9</v>
      </c>
      <c r="K268">
        <v>107.55</v>
      </c>
      <c r="L268">
        <v>678.35</v>
      </c>
      <c r="M268">
        <v>3</v>
      </c>
      <c r="N268" t="s">
        <v>27</v>
      </c>
    </row>
    <row r="269" spans="1:14" x14ac:dyDescent="0.25">
      <c r="A269" t="s">
        <v>64</v>
      </c>
      <c r="B269">
        <v>235</v>
      </c>
      <c r="C269" s="1">
        <v>42775</v>
      </c>
      <c r="D269" t="s">
        <v>195</v>
      </c>
      <c r="E269" s="1">
        <v>42753</v>
      </c>
      <c r="F269">
        <v>0</v>
      </c>
      <c r="G269" s="1">
        <v>42776</v>
      </c>
      <c r="H269" s="1">
        <v>42773</v>
      </c>
      <c r="I269" t="s">
        <v>15</v>
      </c>
      <c r="J269">
        <v>353.96</v>
      </c>
      <c r="K269">
        <v>63.83</v>
      </c>
      <c r="L269">
        <v>290.13</v>
      </c>
      <c r="M269">
        <v>3</v>
      </c>
      <c r="N269" t="s">
        <v>16</v>
      </c>
    </row>
    <row r="270" spans="1:14" x14ac:dyDescent="0.25">
      <c r="A270" t="s">
        <v>64</v>
      </c>
      <c r="B270">
        <v>232</v>
      </c>
      <c r="C270" s="1">
        <v>42775</v>
      </c>
      <c r="D270" t="s">
        <v>196</v>
      </c>
      <c r="E270" s="1">
        <v>42753</v>
      </c>
      <c r="F270">
        <v>0</v>
      </c>
      <c r="G270" s="1">
        <v>42776</v>
      </c>
      <c r="H270" s="1">
        <v>42773</v>
      </c>
      <c r="I270" t="s">
        <v>15</v>
      </c>
      <c r="J270">
        <v>2.09</v>
      </c>
      <c r="K270">
        <v>0.38</v>
      </c>
      <c r="L270">
        <v>1.71</v>
      </c>
      <c r="M270">
        <v>3</v>
      </c>
      <c r="N270" t="s">
        <v>16</v>
      </c>
    </row>
    <row r="271" spans="1:14" x14ac:dyDescent="0.25">
      <c r="A271" t="s">
        <v>64</v>
      </c>
      <c r="B271">
        <v>236</v>
      </c>
      <c r="C271" s="1">
        <v>42775</v>
      </c>
      <c r="D271" t="s">
        <v>197</v>
      </c>
      <c r="E271" s="1">
        <v>42753</v>
      </c>
      <c r="F271">
        <v>0</v>
      </c>
      <c r="G271" s="1">
        <v>42776</v>
      </c>
      <c r="H271" s="1">
        <v>42773</v>
      </c>
      <c r="I271" t="s">
        <v>15</v>
      </c>
      <c r="J271">
        <v>118.6</v>
      </c>
      <c r="K271">
        <v>21.39</v>
      </c>
      <c r="L271">
        <v>97.21</v>
      </c>
      <c r="M271">
        <v>3</v>
      </c>
      <c r="N271" t="s">
        <v>16</v>
      </c>
    </row>
    <row r="272" spans="1:14" x14ac:dyDescent="0.25">
      <c r="A272" t="s">
        <v>64</v>
      </c>
      <c r="B272">
        <v>233</v>
      </c>
      <c r="C272" s="1">
        <v>42775</v>
      </c>
      <c r="D272" t="s">
        <v>198</v>
      </c>
      <c r="E272" s="1">
        <v>42753</v>
      </c>
      <c r="F272">
        <v>0</v>
      </c>
      <c r="G272" s="1">
        <v>42776</v>
      </c>
      <c r="H272" s="1">
        <v>42773</v>
      </c>
      <c r="I272" t="s">
        <v>15</v>
      </c>
      <c r="J272">
        <v>2.09</v>
      </c>
      <c r="K272">
        <v>0.38</v>
      </c>
      <c r="L272">
        <v>1.71</v>
      </c>
      <c r="M272">
        <v>3</v>
      </c>
      <c r="N272" t="s">
        <v>16</v>
      </c>
    </row>
    <row r="273" spans="1:14" x14ac:dyDescent="0.25">
      <c r="A273" t="s">
        <v>64</v>
      </c>
      <c r="B273">
        <v>237</v>
      </c>
      <c r="C273" s="1">
        <v>42775</v>
      </c>
      <c r="D273" t="s">
        <v>199</v>
      </c>
      <c r="E273" s="1">
        <v>42753</v>
      </c>
      <c r="F273">
        <v>0</v>
      </c>
      <c r="G273" s="1">
        <v>42776</v>
      </c>
      <c r="H273" s="1">
        <v>42773</v>
      </c>
      <c r="I273" t="s">
        <v>15</v>
      </c>
      <c r="J273">
        <v>398.46</v>
      </c>
      <c r="K273">
        <v>71.849999999999994</v>
      </c>
      <c r="L273">
        <v>326.61</v>
      </c>
      <c r="M273">
        <v>3</v>
      </c>
      <c r="N273" t="s">
        <v>16</v>
      </c>
    </row>
    <row r="274" spans="1:14" x14ac:dyDescent="0.25">
      <c r="A274" t="s">
        <v>64</v>
      </c>
      <c r="B274">
        <v>1883</v>
      </c>
      <c r="C274" s="1">
        <v>43032</v>
      </c>
      <c r="D274" t="s">
        <v>194</v>
      </c>
      <c r="E274" s="1">
        <v>43010</v>
      </c>
      <c r="F274">
        <v>0</v>
      </c>
      <c r="G274" s="1">
        <v>43034</v>
      </c>
      <c r="H274" s="1">
        <v>43031</v>
      </c>
      <c r="I274" t="s">
        <v>15</v>
      </c>
      <c r="J274">
        <v>681.02</v>
      </c>
      <c r="K274">
        <v>93.2</v>
      </c>
      <c r="L274">
        <v>587.82000000000005</v>
      </c>
      <c r="M274">
        <v>3</v>
      </c>
      <c r="N274" t="s">
        <v>27</v>
      </c>
    </row>
    <row r="275" spans="1:14" x14ac:dyDescent="0.25">
      <c r="A275" t="s">
        <v>64</v>
      </c>
      <c r="B275">
        <v>1882</v>
      </c>
      <c r="C275" s="1">
        <v>43032</v>
      </c>
      <c r="D275" t="s">
        <v>194</v>
      </c>
      <c r="E275" s="1">
        <v>43010</v>
      </c>
      <c r="F275">
        <v>0</v>
      </c>
      <c r="G275" s="1">
        <v>43034</v>
      </c>
      <c r="H275" s="1">
        <v>43031</v>
      </c>
      <c r="I275" t="s">
        <v>15</v>
      </c>
      <c r="J275">
        <v>177.27</v>
      </c>
      <c r="K275">
        <v>24.26</v>
      </c>
      <c r="L275">
        <v>153.01</v>
      </c>
      <c r="M275">
        <v>3</v>
      </c>
      <c r="N275" t="s">
        <v>27</v>
      </c>
    </row>
    <row r="276" spans="1:14" x14ac:dyDescent="0.25">
      <c r="A276" t="s">
        <v>64</v>
      </c>
      <c r="B276">
        <v>238</v>
      </c>
      <c r="C276" s="1">
        <v>42775</v>
      </c>
      <c r="D276" t="s">
        <v>200</v>
      </c>
      <c r="E276" s="1">
        <v>42753</v>
      </c>
      <c r="F276">
        <v>0</v>
      </c>
      <c r="G276" s="1">
        <v>42776</v>
      </c>
      <c r="H276" s="1">
        <v>42773</v>
      </c>
      <c r="I276" t="s">
        <v>15</v>
      </c>
      <c r="J276" s="2">
        <v>2530.52</v>
      </c>
      <c r="K276">
        <v>456.32</v>
      </c>
      <c r="L276" s="2">
        <v>2074.1999999999998</v>
      </c>
      <c r="M276">
        <v>3</v>
      </c>
      <c r="N276" t="s">
        <v>16</v>
      </c>
    </row>
    <row r="277" spans="1:14" x14ac:dyDescent="0.25">
      <c r="A277" t="s">
        <v>64</v>
      </c>
      <c r="B277">
        <v>240</v>
      </c>
      <c r="C277" s="1">
        <v>42775</v>
      </c>
      <c r="D277" t="s">
        <v>201</v>
      </c>
      <c r="E277" s="1">
        <v>42753</v>
      </c>
      <c r="F277">
        <v>0</v>
      </c>
      <c r="G277" s="1">
        <v>42776</v>
      </c>
      <c r="H277" s="1">
        <v>42773</v>
      </c>
      <c r="I277" t="s">
        <v>15</v>
      </c>
      <c r="J277" s="2">
        <v>2576.69</v>
      </c>
      <c r="K277">
        <v>464.65</v>
      </c>
      <c r="L277" s="2">
        <v>2112.04</v>
      </c>
      <c r="M277">
        <v>3</v>
      </c>
      <c r="N277" t="s">
        <v>16</v>
      </c>
    </row>
    <row r="278" spans="1:14" x14ac:dyDescent="0.25">
      <c r="A278" t="s">
        <v>64</v>
      </c>
      <c r="B278">
        <v>1885</v>
      </c>
      <c r="C278" s="1">
        <v>43032</v>
      </c>
      <c r="D278" t="s">
        <v>194</v>
      </c>
      <c r="E278" s="1">
        <v>43010</v>
      </c>
      <c r="F278">
        <v>0</v>
      </c>
      <c r="G278" s="1">
        <v>43034</v>
      </c>
      <c r="H278" s="1">
        <v>43031</v>
      </c>
      <c r="I278" t="s">
        <v>15</v>
      </c>
      <c r="J278">
        <v>653.72</v>
      </c>
      <c r="K278">
        <v>89.46</v>
      </c>
      <c r="L278">
        <v>564.26</v>
      </c>
      <c r="M278">
        <v>3</v>
      </c>
      <c r="N278" t="s">
        <v>27</v>
      </c>
    </row>
    <row r="279" spans="1:14" x14ac:dyDescent="0.25">
      <c r="A279" t="s">
        <v>64</v>
      </c>
      <c r="B279">
        <v>1877</v>
      </c>
      <c r="C279" s="1">
        <v>43032</v>
      </c>
      <c r="D279" t="s">
        <v>202</v>
      </c>
      <c r="E279" s="1">
        <v>43010</v>
      </c>
      <c r="F279">
        <v>0</v>
      </c>
      <c r="G279" s="1">
        <v>43034</v>
      </c>
      <c r="H279" s="1">
        <v>43031</v>
      </c>
      <c r="I279" t="s">
        <v>15</v>
      </c>
      <c r="J279">
        <v>545.21</v>
      </c>
      <c r="K279">
        <v>98.32</v>
      </c>
      <c r="L279">
        <v>446.89</v>
      </c>
      <c r="M279">
        <v>3</v>
      </c>
      <c r="N279" t="s">
        <v>27</v>
      </c>
    </row>
    <row r="280" spans="1:14" x14ac:dyDescent="0.25">
      <c r="A280" t="s">
        <v>64</v>
      </c>
      <c r="B280">
        <v>234</v>
      </c>
      <c r="C280" s="1">
        <v>42775</v>
      </c>
      <c r="D280" t="s">
        <v>203</v>
      </c>
      <c r="E280" s="1">
        <v>42753</v>
      </c>
      <c r="F280">
        <v>0</v>
      </c>
      <c r="G280" s="1">
        <v>42776</v>
      </c>
      <c r="H280" s="1">
        <v>42773</v>
      </c>
      <c r="I280" t="s">
        <v>15</v>
      </c>
      <c r="J280">
        <v>436.21</v>
      </c>
      <c r="K280">
        <v>78.66</v>
      </c>
      <c r="L280">
        <v>357.55</v>
      </c>
      <c r="M280">
        <v>3</v>
      </c>
      <c r="N280" t="s">
        <v>16</v>
      </c>
    </row>
    <row r="281" spans="1:14" x14ac:dyDescent="0.25">
      <c r="A281" t="s">
        <v>64</v>
      </c>
      <c r="B281">
        <v>231</v>
      </c>
      <c r="C281" s="1">
        <v>42775</v>
      </c>
      <c r="D281" t="s">
        <v>204</v>
      </c>
      <c r="E281" s="1">
        <v>42753</v>
      </c>
      <c r="F281">
        <v>0</v>
      </c>
      <c r="G281" s="1">
        <v>42776</v>
      </c>
      <c r="H281" s="1">
        <v>42773</v>
      </c>
      <c r="I281" t="s">
        <v>15</v>
      </c>
      <c r="J281">
        <v>774.18</v>
      </c>
      <c r="K281">
        <v>139.61000000000001</v>
      </c>
      <c r="L281">
        <v>634.57000000000005</v>
      </c>
      <c r="M281">
        <v>3</v>
      </c>
      <c r="N281" t="s">
        <v>16</v>
      </c>
    </row>
    <row r="282" spans="1:14" x14ac:dyDescent="0.25">
      <c r="A282" t="s">
        <v>64</v>
      </c>
      <c r="B282">
        <v>1884</v>
      </c>
      <c r="C282" s="1">
        <v>43032</v>
      </c>
      <c r="D282" t="s">
        <v>194</v>
      </c>
      <c r="E282" s="1">
        <v>43010</v>
      </c>
      <c r="F282">
        <v>0</v>
      </c>
      <c r="G282" s="1">
        <v>43034</v>
      </c>
      <c r="H282" s="1">
        <v>43031</v>
      </c>
      <c r="I282" t="s">
        <v>15</v>
      </c>
      <c r="J282">
        <v>459.13</v>
      </c>
      <c r="K282">
        <v>62.83</v>
      </c>
      <c r="L282">
        <v>396.3</v>
      </c>
      <c r="M282">
        <v>3</v>
      </c>
      <c r="N282" t="s">
        <v>27</v>
      </c>
    </row>
    <row r="283" spans="1:14" x14ac:dyDescent="0.25">
      <c r="A283" t="s">
        <v>64</v>
      </c>
      <c r="B283">
        <v>1879</v>
      </c>
      <c r="C283" s="1">
        <v>43032</v>
      </c>
      <c r="D283" t="s">
        <v>194</v>
      </c>
      <c r="E283" s="1">
        <v>43010</v>
      </c>
      <c r="F283">
        <v>0</v>
      </c>
      <c r="G283" s="1">
        <v>43034</v>
      </c>
      <c r="H283" s="1">
        <v>43031</v>
      </c>
      <c r="I283" t="s">
        <v>15</v>
      </c>
      <c r="J283">
        <v>67.430000000000007</v>
      </c>
      <c r="K283">
        <v>9.23</v>
      </c>
      <c r="L283">
        <v>58.2</v>
      </c>
      <c r="M283">
        <v>3</v>
      </c>
      <c r="N283" t="s">
        <v>27</v>
      </c>
    </row>
    <row r="284" spans="1:14" x14ac:dyDescent="0.25">
      <c r="A284" t="s">
        <v>64</v>
      </c>
      <c r="B284">
        <v>1878</v>
      </c>
      <c r="C284" s="1">
        <v>43032</v>
      </c>
      <c r="D284" t="s">
        <v>193</v>
      </c>
      <c r="E284" s="1">
        <v>43010</v>
      </c>
      <c r="F284">
        <v>0</v>
      </c>
      <c r="G284" s="1">
        <v>43034</v>
      </c>
      <c r="H284" s="1">
        <v>43031</v>
      </c>
      <c r="I284" t="s">
        <v>15</v>
      </c>
      <c r="J284" s="2">
        <v>1328</v>
      </c>
      <c r="K284">
        <v>239.47</v>
      </c>
      <c r="L284" s="2">
        <v>1088.53</v>
      </c>
      <c r="M284">
        <v>3</v>
      </c>
      <c r="N284" t="s">
        <v>27</v>
      </c>
    </row>
    <row r="285" spans="1:14" x14ac:dyDescent="0.25">
      <c r="A285" t="s">
        <v>64</v>
      </c>
      <c r="B285">
        <v>1886</v>
      </c>
      <c r="C285" s="1">
        <v>43032</v>
      </c>
      <c r="D285" t="s">
        <v>194</v>
      </c>
      <c r="E285" s="1">
        <v>43010</v>
      </c>
      <c r="F285">
        <v>0</v>
      </c>
      <c r="G285" s="1">
        <v>43034</v>
      </c>
      <c r="H285" s="1">
        <v>43031</v>
      </c>
      <c r="I285" t="s">
        <v>15</v>
      </c>
      <c r="J285">
        <v>127.26</v>
      </c>
      <c r="K285">
        <v>17.420000000000002</v>
      </c>
      <c r="L285">
        <v>109.84</v>
      </c>
      <c r="M285">
        <v>3</v>
      </c>
      <c r="N285" t="s">
        <v>27</v>
      </c>
    </row>
    <row r="286" spans="1:14" x14ac:dyDescent="0.25">
      <c r="A286" t="s">
        <v>64</v>
      </c>
      <c r="B286">
        <v>239</v>
      </c>
      <c r="C286" s="1">
        <v>42775</v>
      </c>
      <c r="D286" t="s">
        <v>205</v>
      </c>
      <c r="E286" s="1">
        <v>42753</v>
      </c>
      <c r="F286">
        <v>0</v>
      </c>
      <c r="G286" s="1">
        <v>42776</v>
      </c>
      <c r="H286" s="1">
        <v>42773</v>
      </c>
      <c r="I286" t="s">
        <v>15</v>
      </c>
      <c r="J286">
        <v>854.94</v>
      </c>
      <c r="K286">
        <v>154.16999999999999</v>
      </c>
      <c r="L286">
        <v>700.77</v>
      </c>
      <c r="M286">
        <v>3</v>
      </c>
      <c r="N286" t="s">
        <v>16</v>
      </c>
    </row>
    <row r="287" spans="1:14" x14ac:dyDescent="0.25">
      <c r="A287" t="s">
        <v>37</v>
      </c>
      <c r="B287">
        <v>1714</v>
      </c>
      <c r="C287" s="1">
        <v>43005</v>
      </c>
      <c r="D287" t="s">
        <v>206</v>
      </c>
      <c r="E287" s="1">
        <v>42978</v>
      </c>
      <c r="F287">
        <v>0</v>
      </c>
      <c r="G287" s="1">
        <v>43010</v>
      </c>
      <c r="H287" s="1">
        <v>43008</v>
      </c>
      <c r="I287" t="s">
        <v>15</v>
      </c>
      <c r="J287" s="2">
        <v>1625.36</v>
      </c>
      <c r="K287">
        <v>62.51</v>
      </c>
      <c r="L287" s="2">
        <v>1562.85</v>
      </c>
      <c r="M287">
        <v>2</v>
      </c>
      <c r="N287" t="s">
        <v>39</v>
      </c>
    </row>
    <row r="288" spans="1:14" x14ac:dyDescent="0.25">
      <c r="A288" t="s">
        <v>37</v>
      </c>
      <c r="B288">
        <v>1714</v>
      </c>
      <c r="C288" s="1">
        <v>43005</v>
      </c>
      <c r="D288" t="s">
        <v>207</v>
      </c>
      <c r="E288" s="1">
        <v>42978</v>
      </c>
      <c r="F288">
        <v>0</v>
      </c>
      <c r="G288" s="1">
        <v>43010</v>
      </c>
      <c r="H288" s="1">
        <v>43008</v>
      </c>
      <c r="I288" t="s">
        <v>15</v>
      </c>
      <c r="J288">
        <v>50.51</v>
      </c>
      <c r="K288">
        <v>4.59</v>
      </c>
      <c r="L288">
        <v>45.92</v>
      </c>
      <c r="M288">
        <v>2</v>
      </c>
      <c r="N288" t="s">
        <v>39</v>
      </c>
    </row>
    <row r="289" spans="1:14" x14ac:dyDescent="0.25">
      <c r="A289" t="s">
        <v>49</v>
      </c>
      <c r="B289">
        <v>1140</v>
      </c>
      <c r="C289" s="1">
        <v>42913</v>
      </c>
      <c r="D289" t="s">
        <v>208</v>
      </c>
      <c r="E289" s="1">
        <v>42893</v>
      </c>
      <c r="F289">
        <v>0</v>
      </c>
      <c r="G289" s="1">
        <v>42914</v>
      </c>
      <c r="H289" s="1">
        <v>42913</v>
      </c>
      <c r="I289" t="s">
        <v>15</v>
      </c>
      <c r="J289">
        <v>778.24</v>
      </c>
      <c r="K289">
        <v>116.73</v>
      </c>
      <c r="L289">
        <v>661.51</v>
      </c>
      <c r="M289">
        <v>1</v>
      </c>
      <c r="N289" t="s">
        <v>20</v>
      </c>
    </row>
    <row r="290" spans="1:14" x14ac:dyDescent="0.25">
      <c r="A290" t="s">
        <v>49</v>
      </c>
      <c r="B290">
        <v>1138</v>
      </c>
      <c r="C290" s="1">
        <v>42913</v>
      </c>
      <c r="D290" t="s">
        <v>208</v>
      </c>
      <c r="E290" s="1">
        <v>42893</v>
      </c>
      <c r="F290">
        <v>0</v>
      </c>
      <c r="G290" s="1">
        <v>42914</v>
      </c>
      <c r="H290" s="1">
        <v>42913</v>
      </c>
      <c r="I290" t="s">
        <v>15</v>
      </c>
      <c r="J290">
        <v>459.51</v>
      </c>
      <c r="K290">
        <v>68.92</v>
      </c>
      <c r="L290">
        <v>390.59</v>
      </c>
      <c r="M290">
        <v>1</v>
      </c>
      <c r="N290" t="s">
        <v>20</v>
      </c>
    </row>
    <row r="291" spans="1:14" x14ac:dyDescent="0.25">
      <c r="A291" t="s">
        <v>49</v>
      </c>
      <c r="B291">
        <v>1139</v>
      </c>
      <c r="C291" s="1">
        <v>42913</v>
      </c>
      <c r="D291" t="s">
        <v>208</v>
      </c>
      <c r="E291" s="1">
        <v>42893</v>
      </c>
      <c r="F291">
        <v>0</v>
      </c>
      <c r="G291" s="1">
        <v>42914</v>
      </c>
      <c r="H291" s="1">
        <v>42913</v>
      </c>
      <c r="I291" t="s">
        <v>15</v>
      </c>
      <c r="J291">
        <v>108.07</v>
      </c>
      <c r="K291">
        <v>16.21</v>
      </c>
      <c r="L291">
        <v>91.86</v>
      </c>
      <c r="M291">
        <v>1</v>
      </c>
      <c r="N291" t="s">
        <v>20</v>
      </c>
    </row>
    <row r="292" spans="1:14" x14ac:dyDescent="0.25">
      <c r="A292" t="s">
        <v>49</v>
      </c>
      <c r="B292">
        <v>1141</v>
      </c>
      <c r="C292" s="1">
        <v>42913</v>
      </c>
      <c r="D292" t="s">
        <v>208</v>
      </c>
      <c r="E292" s="1">
        <v>42893</v>
      </c>
      <c r="F292">
        <v>0</v>
      </c>
      <c r="G292" s="1">
        <v>42914</v>
      </c>
      <c r="H292" s="1">
        <v>42913</v>
      </c>
      <c r="I292" t="s">
        <v>15</v>
      </c>
      <c r="J292">
        <v>206.1</v>
      </c>
      <c r="K292">
        <v>30.91</v>
      </c>
      <c r="L292">
        <v>175.19</v>
      </c>
      <c r="M292">
        <v>1</v>
      </c>
      <c r="N292" t="s">
        <v>20</v>
      </c>
    </row>
    <row r="293" spans="1:14" x14ac:dyDescent="0.25">
      <c r="A293" t="s">
        <v>209</v>
      </c>
      <c r="B293">
        <v>427</v>
      </c>
      <c r="C293" s="1">
        <v>42802</v>
      </c>
      <c r="D293" t="s">
        <v>210</v>
      </c>
      <c r="E293" s="1">
        <v>42744</v>
      </c>
      <c r="F293">
        <v>0</v>
      </c>
      <c r="G293" s="1">
        <v>42804</v>
      </c>
      <c r="H293" s="1">
        <v>42803</v>
      </c>
      <c r="I293" t="s">
        <v>15</v>
      </c>
      <c r="J293">
        <v>234</v>
      </c>
      <c r="K293">
        <v>42.2</v>
      </c>
      <c r="L293">
        <v>191.8</v>
      </c>
      <c r="M293">
        <v>1</v>
      </c>
      <c r="N293" t="s">
        <v>59</v>
      </c>
    </row>
    <row r="294" spans="1:14" x14ac:dyDescent="0.25">
      <c r="A294" t="s">
        <v>209</v>
      </c>
      <c r="B294">
        <v>423</v>
      </c>
      <c r="C294" s="1">
        <v>42802</v>
      </c>
      <c r="D294" t="s">
        <v>210</v>
      </c>
      <c r="E294" s="1">
        <v>42744</v>
      </c>
      <c r="F294">
        <v>0</v>
      </c>
      <c r="G294" s="1">
        <v>42804</v>
      </c>
      <c r="H294" s="1">
        <v>42803</v>
      </c>
      <c r="I294" t="s">
        <v>15</v>
      </c>
      <c r="J294">
        <v>101</v>
      </c>
      <c r="K294">
        <v>18.21</v>
      </c>
      <c r="L294">
        <v>82.79</v>
      </c>
      <c r="M294">
        <v>1</v>
      </c>
      <c r="N294" t="s">
        <v>59</v>
      </c>
    </row>
    <row r="295" spans="1:14" x14ac:dyDescent="0.25">
      <c r="A295" t="s">
        <v>209</v>
      </c>
      <c r="B295">
        <v>426</v>
      </c>
      <c r="C295" s="1">
        <v>42802</v>
      </c>
      <c r="D295" t="s">
        <v>210</v>
      </c>
      <c r="E295" s="1">
        <v>42744</v>
      </c>
      <c r="F295">
        <v>0</v>
      </c>
      <c r="G295" s="1">
        <v>42804</v>
      </c>
      <c r="H295" s="1">
        <v>42803</v>
      </c>
      <c r="I295" t="s">
        <v>15</v>
      </c>
      <c r="J295">
        <v>422.2</v>
      </c>
      <c r="K295">
        <v>76.13</v>
      </c>
      <c r="L295">
        <v>346.07</v>
      </c>
      <c r="M295">
        <v>1</v>
      </c>
      <c r="N295" t="s">
        <v>59</v>
      </c>
    </row>
    <row r="296" spans="1:14" x14ac:dyDescent="0.25">
      <c r="A296" t="s">
        <v>209</v>
      </c>
      <c r="B296">
        <v>425</v>
      </c>
      <c r="C296" s="1">
        <v>42802</v>
      </c>
      <c r="D296" t="s">
        <v>210</v>
      </c>
      <c r="E296" s="1">
        <v>42744</v>
      </c>
      <c r="F296">
        <v>0</v>
      </c>
      <c r="G296" s="1">
        <v>42804</v>
      </c>
      <c r="H296" s="1">
        <v>42803</v>
      </c>
      <c r="I296" t="s">
        <v>15</v>
      </c>
      <c r="J296">
        <v>200</v>
      </c>
      <c r="K296">
        <v>36.07</v>
      </c>
      <c r="L296">
        <v>163.93</v>
      </c>
      <c r="M296">
        <v>1</v>
      </c>
      <c r="N296" t="s">
        <v>59</v>
      </c>
    </row>
    <row r="297" spans="1:14" x14ac:dyDescent="0.25">
      <c r="A297" t="s">
        <v>209</v>
      </c>
      <c r="B297">
        <v>424</v>
      </c>
      <c r="C297" s="1">
        <v>42802</v>
      </c>
      <c r="D297" t="s">
        <v>210</v>
      </c>
      <c r="E297" s="1">
        <v>42744</v>
      </c>
      <c r="F297">
        <v>0</v>
      </c>
      <c r="G297" s="1">
        <v>42804</v>
      </c>
      <c r="H297" s="1">
        <v>42803</v>
      </c>
      <c r="I297" t="s">
        <v>15</v>
      </c>
      <c r="J297">
        <v>209</v>
      </c>
      <c r="K297">
        <v>37.69</v>
      </c>
      <c r="L297">
        <v>171.31</v>
      </c>
      <c r="M297">
        <v>1</v>
      </c>
      <c r="N297" t="s">
        <v>59</v>
      </c>
    </row>
    <row r="298" spans="1:14" x14ac:dyDescent="0.25">
      <c r="A298" t="s">
        <v>57</v>
      </c>
      <c r="B298">
        <v>1125</v>
      </c>
      <c r="C298" s="1">
        <v>42909</v>
      </c>
      <c r="D298" t="s">
        <v>58</v>
      </c>
      <c r="E298" s="1">
        <v>42839</v>
      </c>
      <c r="F298">
        <v>0</v>
      </c>
      <c r="G298" s="1">
        <v>42870</v>
      </c>
      <c r="H298" s="1">
        <v>42869</v>
      </c>
      <c r="I298" t="s">
        <v>15</v>
      </c>
      <c r="J298">
        <v>8.73</v>
      </c>
      <c r="K298">
        <v>1.57</v>
      </c>
      <c r="L298">
        <v>7.16</v>
      </c>
      <c r="M298">
        <v>1</v>
      </c>
      <c r="N298" t="s">
        <v>59</v>
      </c>
    </row>
    <row r="299" spans="1:14" x14ac:dyDescent="0.25">
      <c r="A299" t="s">
        <v>57</v>
      </c>
      <c r="B299">
        <v>1548</v>
      </c>
      <c r="C299" s="1">
        <v>42969</v>
      </c>
      <c r="D299" t="s">
        <v>167</v>
      </c>
      <c r="E299" s="1">
        <v>42930</v>
      </c>
      <c r="F299">
        <v>0</v>
      </c>
      <c r="G299" s="1">
        <v>42961</v>
      </c>
      <c r="H299" s="1">
        <v>42960</v>
      </c>
      <c r="I299" t="s">
        <v>15</v>
      </c>
      <c r="J299">
        <v>8.73</v>
      </c>
      <c r="K299">
        <v>1.57</v>
      </c>
      <c r="L299">
        <v>7.16</v>
      </c>
      <c r="M299">
        <v>1</v>
      </c>
      <c r="N299" t="s">
        <v>59</v>
      </c>
    </row>
    <row r="300" spans="1:14" x14ac:dyDescent="0.25">
      <c r="A300" t="s">
        <v>61</v>
      </c>
      <c r="B300">
        <v>258</v>
      </c>
      <c r="C300" s="1">
        <v>42776</v>
      </c>
      <c r="D300" t="str">
        <f>"60"</f>
        <v>60</v>
      </c>
      <c r="E300" s="1">
        <v>42737</v>
      </c>
      <c r="F300">
        <v>0</v>
      </c>
      <c r="G300" s="1">
        <v>42776</v>
      </c>
      <c r="H300" s="1">
        <v>42776</v>
      </c>
      <c r="I300" t="s">
        <v>15</v>
      </c>
      <c r="J300">
        <v>128.66</v>
      </c>
      <c r="K300">
        <v>0</v>
      </c>
      <c r="L300">
        <v>128.66</v>
      </c>
      <c r="M300">
        <v>0</v>
      </c>
      <c r="N300" t="s">
        <v>150</v>
      </c>
    </row>
    <row r="301" spans="1:14" x14ac:dyDescent="0.25">
      <c r="A301" t="s">
        <v>61</v>
      </c>
      <c r="B301">
        <v>258</v>
      </c>
      <c r="C301" s="1">
        <v>42776</v>
      </c>
      <c r="D301" t="str">
        <f>"58"</f>
        <v>58</v>
      </c>
      <c r="E301" s="1">
        <v>42737</v>
      </c>
      <c r="F301">
        <v>0</v>
      </c>
      <c r="G301" s="1">
        <v>42776</v>
      </c>
      <c r="H301" s="1">
        <v>42776</v>
      </c>
      <c r="I301" t="s">
        <v>15</v>
      </c>
      <c r="J301">
        <v>258.16000000000003</v>
      </c>
      <c r="K301">
        <v>0</v>
      </c>
      <c r="L301">
        <v>258.16000000000003</v>
      </c>
      <c r="M301">
        <v>0</v>
      </c>
      <c r="N301" t="s">
        <v>150</v>
      </c>
    </row>
    <row r="302" spans="1:14" x14ac:dyDescent="0.25">
      <c r="A302" t="s">
        <v>61</v>
      </c>
      <c r="B302">
        <v>258</v>
      </c>
      <c r="C302" s="1">
        <v>42776</v>
      </c>
      <c r="D302" t="str">
        <f>"54"</f>
        <v>54</v>
      </c>
      <c r="E302" s="1">
        <v>42737</v>
      </c>
      <c r="F302">
        <v>0</v>
      </c>
      <c r="G302" s="1">
        <v>42776</v>
      </c>
      <c r="H302" s="1">
        <v>42776</v>
      </c>
      <c r="I302" t="s">
        <v>15</v>
      </c>
      <c r="J302">
        <v>136.9</v>
      </c>
      <c r="K302">
        <v>0</v>
      </c>
      <c r="L302">
        <v>136.9</v>
      </c>
      <c r="M302">
        <v>0</v>
      </c>
      <c r="N302" t="s">
        <v>150</v>
      </c>
    </row>
    <row r="303" spans="1:14" x14ac:dyDescent="0.25">
      <c r="A303" t="s">
        <v>61</v>
      </c>
      <c r="B303">
        <v>1422</v>
      </c>
      <c r="C303" s="1">
        <v>42956</v>
      </c>
      <c r="D303" t="str">
        <f>"316"</f>
        <v>316</v>
      </c>
      <c r="E303" s="1">
        <v>42887</v>
      </c>
      <c r="F303">
        <v>0</v>
      </c>
      <c r="G303" s="1">
        <v>42957</v>
      </c>
      <c r="H303" s="1">
        <v>42957</v>
      </c>
      <c r="I303" t="s">
        <v>15</v>
      </c>
      <c r="J303">
        <v>128.66</v>
      </c>
      <c r="K303">
        <v>0</v>
      </c>
      <c r="L303">
        <v>128.66</v>
      </c>
      <c r="M303">
        <v>0</v>
      </c>
      <c r="N303" t="s">
        <v>62</v>
      </c>
    </row>
    <row r="304" spans="1:14" x14ac:dyDescent="0.25">
      <c r="A304" t="s">
        <v>64</v>
      </c>
      <c r="B304">
        <v>545</v>
      </c>
      <c r="C304" s="1">
        <v>42821</v>
      </c>
      <c r="D304" t="s">
        <v>211</v>
      </c>
      <c r="E304" s="1">
        <v>42801</v>
      </c>
      <c r="F304">
        <v>0</v>
      </c>
      <c r="G304" s="1">
        <v>42821</v>
      </c>
      <c r="H304" s="1">
        <v>42821</v>
      </c>
      <c r="I304" t="s">
        <v>15</v>
      </c>
      <c r="J304">
        <v>658.6</v>
      </c>
      <c r="K304">
        <v>95.12</v>
      </c>
      <c r="L304">
        <v>563.48</v>
      </c>
      <c r="M304">
        <v>0</v>
      </c>
      <c r="N304" t="s">
        <v>66</v>
      </c>
    </row>
    <row r="305" spans="1:14" x14ac:dyDescent="0.25">
      <c r="A305" t="s">
        <v>64</v>
      </c>
      <c r="B305">
        <v>1721</v>
      </c>
      <c r="C305" s="1">
        <v>43005</v>
      </c>
      <c r="D305" t="s">
        <v>212</v>
      </c>
      <c r="E305" s="1">
        <v>42990</v>
      </c>
      <c r="F305">
        <v>0</v>
      </c>
      <c r="G305" s="1">
        <v>43010</v>
      </c>
      <c r="H305" s="1">
        <v>43010</v>
      </c>
      <c r="I305" t="s">
        <v>15</v>
      </c>
      <c r="J305">
        <v>34.86</v>
      </c>
      <c r="K305">
        <v>6.29</v>
      </c>
      <c r="L305">
        <v>28.57</v>
      </c>
      <c r="M305">
        <v>0</v>
      </c>
      <c r="N305" t="s">
        <v>66</v>
      </c>
    </row>
    <row r="306" spans="1:14" x14ac:dyDescent="0.25">
      <c r="A306" t="s">
        <v>64</v>
      </c>
      <c r="B306">
        <v>533</v>
      </c>
      <c r="C306" s="1">
        <v>42821</v>
      </c>
      <c r="D306" t="s">
        <v>213</v>
      </c>
      <c r="E306" s="1">
        <v>42801</v>
      </c>
      <c r="F306">
        <v>0</v>
      </c>
      <c r="G306" s="1">
        <v>42821</v>
      </c>
      <c r="H306" s="1">
        <v>42821</v>
      </c>
      <c r="I306" t="s">
        <v>15</v>
      </c>
      <c r="J306">
        <v>2.34</v>
      </c>
      <c r="K306">
        <v>0.42</v>
      </c>
      <c r="L306">
        <v>1.92</v>
      </c>
      <c r="M306">
        <v>0</v>
      </c>
      <c r="N306" t="s">
        <v>66</v>
      </c>
    </row>
    <row r="307" spans="1:14" x14ac:dyDescent="0.25">
      <c r="A307" t="s">
        <v>64</v>
      </c>
      <c r="B307">
        <v>1722</v>
      </c>
      <c r="C307" s="1">
        <v>43005</v>
      </c>
      <c r="D307" t="s">
        <v>214</v>
      </c>
      <c r="E307" s="1">
        <v>42990</v>
      </c>
      <c r="F307">
        <v>0</v>
      </c>
      <c r="G307" s="1">
        <v>43010</v>
      </c>
      <c r="H307" s="1">
        <v>43010</v>
      </c>
      <c r="I307" t="s">
        <v>15</v>
      </c>
      <c r="J307">
        <v>39.799999999999997</v>
      </c>
      <c r="K307">
        <v>7.18</v>
      </c>
      <c r="L307">
        <v>32.619999999999997</v>
      </c>
      <c r="M307">
        <v>0</v>
      </c>
      <c r="N307" t="s">
        <v>66</v>
      </c>
    </row>
    <row r="308" spans="1:14" x14ac:dyDescent="0.25">
      <c r="A308" t="s">
        <v>64</v>
      </c>
      <c r="B308">
        <v>535</v>
      </c>
      <c r="C308" s="1">
        <v>42821</v>
      </c>
      <c r="D308" t="s">
        <v>215</v>
      </c>
      <c r="E308" s="1">
        <v>42801</v>
      </c>
      <c r="F308">
        <v>0</v>
      </c>
      <c r="G308" s="1">
        <v>42821</v>
      </c>
      <c r="H308" s="1">
        <v>42821</v>
      </c>
      <c r="I308" t="s">
        <v>15</v>
      </c>
      <c r="J308" s="2">
        <v>1303.75</v>
      </c>
      <c r="K308">
        <v>211.46</v>
      </c>
      <c r="L308" s="2">
        <v>1092.29</v>
      </c>
      <c r="M308">
        <v>0</v>
      </c>
      <c r="N308" t="s">
        <v>66</v>
      </c>
    </row>
    <row r="309" spans="1:14" x14ac:dyDescent="0.25">
      <c r="A309" t="s">
        <v>64</v>
      </c>
      <c r="B309">
        <v>1911</v>
      </c>
      <c r="C309" s="1">
        <v>43033</v>
      </c>
      <c r="D309" t="s">
        <v>216</v>
      </c>
      <c r="E309" s="1">
        <v>43014</v>
      </c>
      <c r="F309">
        <v>0</v>
      </c>
      <c r="G309" s="1">
        <v>43034</v>
      </c>
      <c r="H309" s="1">
        <v>43034</v>
      </c>
      <c r="I309" t="s">
        <v>15</v>
      </c>
      <c r="J309">
        <v>39.5</v>
      </c>
      <c r="K309">
        <v>7.12</v>
      </c>
      <c r="L309">
        <v>32.380000000000003</v>
      </c>
      <c r="M309">
        <v>0</v>
      </c>
      <c r="N309" t="s">
        <v>66</v>
      </c>
    </row>
    <row r="310" spans="1:14" x14ac:dyDescent="0.25">
      <c r="A310" t="s">
        <v>64</v>
      </c>
      <c r="B310">
        <v>1916</v>
      </c>
      <c r="C310" s="1">
        <v>43033</v>
      </c>
      <c r="D310" t="s">
        <v>217</v>
      </c>
      <c r="E310" s="1">
        <v>43014</v>
      </c>
      <c r="F310">
        <v>0</v>
      </c>
      <c r="G310" s="1">
        <v>43034</v>
      </c>
      <c r="H310" s="1">
        <v>43034</v>
      </c>
      <c r="I310" t="s">
        <v>15</v>
      </c>
      <c r="J310">
        <v>2.34</v>
      </c>
      <c r="K310">
        <v>0.42</v>
      </c>
      <c r="L310">
        <v>1.92</v>
      </c>
      <c r="M310">
        <v>0</v>
      </c>
      <c r="N310" t="s">
        <v>66</v>
      </c>
    </row>
    <row r="311" spans="1:14" x14ac:dyDescent="0.25">
      <c r="A311" t="s">
        <v>64</v>
      </c>
      <c r="B311">
        <v>1910</v>
      </c>
      <c r="C311" s="1">
        <v>43033</v>
      </c>
      <c r="D311" t="s">
        <v>218</v>
      </c>
      <c r="E311" s="1">
        <v>43014</v>
      </c>
      <c r="F311">
        <v>0</v>
      </c>
      <c r="G311" s="1">
        <v>43034</v>
      </c>
      <c r="H311" s="1">
        <v>43034</v>
      </c>
      <c r="I311" t="s">
        <v>15</v>
      </c>
      <c r="J311">
        <v>34.86</v>
      </c>
      <c r="K311">
        <v>6.29</v>
      </c>
      <c r="L311">
        <v>28.57</v>
      </c>
      <c r="M311">
        <v>0</v>
      </c>
      <c r="N311" t="s">
        <v>66</v>
      </c>
    </row>
    <row r="312" spans="1:14" x14ac:dyDescent="0.25">
      <c r="A312" t="s">
        <v>64</v>
      </c>
      <c r="B312">
        <v>538</v>
      </c>
      <c r="C312" s="1">
        <v>42821</v>
      </c>
      <c r="D312" t="s">
        <v>219</v>
      </c>
      <c r="E312" s="1">
        <v>42801</v>
      </c>
      <c r="F312">
        <v>0</v>
      </c>
      <c r="G312" s="1">
        <v>42821</v>
      </c>
      <c r="H312" s="1">
        <v>42821</v>
      </c>
      <c r="I312" t="s">
        <v>15</v>
      </c>
      <c r="J312">
        <v>194.47</v>
      </c>
      <c r="K312">
        <v>25.26</v>
      </c>
      <c r="L312">
        <v>169.21</v>
      </c>
      <c r="M312">
        <v>0</v>
      </c>
      <c r="N312" t="s">
        <v>66</v>
      </c>
    </row>
    <row r="313" spans="1:14" x14ac:dyDescent="0.25">
      <c r="A313" t="s">
        <v>64</v>
      </c>
      <c r="B313">
        <v>1909</v>
      </c>
      <c r="C313" s="1">
        <v>43033</v>
      </c>
      <c r="D313" t="s">
        <v>220</v>
      </c>
      <c r="E313" s="1">
        <v>43014</v>
      </c>
      <c r="F313">
        <v>0</v>
      </c>
      <c r="G313" s="1">
        <v>43034</v>
      </c>
      <c r="H313" s="1">
        <v>43034</v>
      </c>
      <c r="I313" t="s">
        <v>15</v>
      </c>
      <c r="J313">
        <v>16.79</v>
      </c>
      <c r="K313">
        <v>3.03</v>
      </c>
      <c r="L313">
        <v>13.76</v>
      </c>
      <c r="M313">
        <v>0</v>
      </c>
      <c r="N313" t="s">
        <v>66</v>
      </c>
    </row>
    <row r="314" spans="1:14" x14ac:dyDescent="0.25">
      <c r="A314" t="s">
        <v>64</v>
      </c>
      <c r="B314">
        <v>1915</v>
      </c>
      <c r="C314" s="1">
        <v>43033</v>
      </c>
      <c r="D314" t="s">
        <v>221</v>
      </c>
      <c r="E314" s="1">
        <v>43014</v>
      </c>
      <c r="F314">
        <v>0</v>
      </c>
      <c r="G314" s="1">
        <v>43034</v>
      </c>
      <c r="H314" s="1">
        <v>43034</v>
      </c>
      <c r="I314" t="s">
        <v>15</v>
      </c>
      <c r="J314">
        <v>34.86</v>
      </c>
      <c r="K314">
        <v>6.29</v>
      </c>
      <c r="L314">
        <v>28.57</v>
      </c>
      <c r="M314">
        <v>0</v>
      </c>
      <c r="N314" t="s">
        <v>66</v>
      </c>
    </row>
    <row r="315" spans="1:14" x14ac:dyDescent="0.25">
      <c r="A315" t="s">
        <v>64</v>
      </c>
      <c r="B315">
        <v>1908</v>
      </c>
      <c r="C315" s="1">
        <v>43033</v>
      </c>
      <c r="D315" t="s">
        <v>222</v>
      </c>
      <c r="E315" s="1">
        <v>43014</v>
      </c>
      <c r="F315">
        <v>0</v>
      </c>
      <c r="G315" s="1">
        <v>43034</v>
      </c>
      <c r="H315" s="1">
        <v>43034</v>
      </c>
      <c r="I315" t="s">
        <v>15</v>
      </c>
      <c r="J315">
        <v>13.53</v>
      </c>
      <c r="K315">
        <v>2.44</v>
      </c>
      <c r="L315">
        <v>11.09</v>
      </c>
      <c r="M315">
        <v>0</v>
      </c>
      <c r="N315" t="s">
        <v>66</v>
      </c>
    </row>
    <row r="316" spans="1:14" x14ac:dyDescent="0.25">
      <c r="A316" t="s">
        <v>64</v>
      </c>
      <c r="B316">
        <v>541</v>
      </c>
      <c r="C316" s="1">
        <v>42821</v>
      </c>
      <c r="D316" t="s">
        <v>223</v>
      </c>
      <c r="E316" s="1">
        <v>42801</v>
      </c>
      <c r="F316">
        <v>0</v>
      </c>
      <c r="G316" s="1">
        <v>42821</v>
      </c>
      <c r="H316" s="1">
        <v>42821</v>
      </c>
      <c r="I316" t="s">
        <v>15</v>
      </c>
      <c r="J316" s="2">
        <v>1539.31</v>
      </c>
      <c r="K316">
        <v>253.94</v>
      </c>
      <c r="L316" s="2">
        <v>1285.3699999999999</v>
      </c>
      <c r="M316">
        <v>0</v>
      </c>
      <c r="N316" t="s">
        <v>66</v>
      </c>
    </row>
    <row r="317" spans="1:14" x14ac:dyDescent="0.25">
      <c r="A317" t="s">
        <v>64</v>
      </c>
      <c r="B317">
        <v>1913</v>
      </c>
      <c r="C317" s="1">
        <v>43033</v>
      </c>
      <c r="D317" t="s">
        <v>224</v>
      </c>
      <c r="E317" s="1">
        <v>43014</v>
      </c>
      <c r="F317">
        <v>0</v>
      </c>
      <c r="G317" s="1">
        <v>43034</v>
      </c>
      <c r="H317" s="1">
        <v>43034</v>
      </c>
      <c r="I317" t="s">
        <v>15</v>
      </c>
      <c r="J317">
        <v>34.86</v>
      </c>
      <c r="K317">
        <v>6.29</v>
      </c>
      <c r="L317">
        <v>28.57</v>
      </c>
      <c r="M317">
        <v>0</v>
      </c>
      <c r="N317" t="s">
        <v>66</v>
      </c>
    </row>
    <row r="318" spans="1:14" x14ac:dyDescent="0.25">
      <c r="A318" t="s">
        <v>64</v>
      </c>
      <c r="B318">
        <v>543</v>
      </c>
      <c r="C318" s="1">
        <v>42821</v>
      </c>
      <c r="D318" t="s">
        <v>225</v>
      </c>
      <c r="E318" s="1">
        <v>42801</v>
      </c>
      <c r="F318">
        <v>0</v>
      </c>
      <c r="G318" s="1">
        <v>42821</v>
      </c>
      <c r="H318" s="1">
        <v>42821</v>
      </c>
      <c r="I318" t="s">
        <v>15</v>
      </c>
      <c r="J318" s="2">
        <v>4373.72</v>
      </c>
      <c r="K318">
        <v>765.06</v>
      </c>
      <c r="L318" s="2">
        <v>3608.66</v>
      </c>
      <c r="M318">
        <v>0</v>
      </c>
      <c r="N318" t="s">
        <v>66</v>
      </c>
    </row>
    <row r="319" spans="1:14" x14ac:dyDescent="0.25">
      <c r="A319" t="s">
        <v>64</v>
      </c>
      <c r="B319">
        <v>1726</v>
      </c>
      <c r="C319" s="1">
        <v>43005</v>
      </c>
      <c r="D319" t="s">
        <v>226</v>
      </c>
      <c r="E319" s="1">
        <v>42990</v>
      </c>
      <c r="F319">
        <v>0</v>
      </c>
      <c r="G319" s="1">
        <v>43010</v>
      </c>
      <c r="H319" s="1">
        <v>43010</v>
      </c>
      <c r="I319" t="s">
        <v>15</v>
      </c>
      <c r="J319">
        <v>2.34</v>
      </c>
      <c r="K319">
        <v>0.42</v>
      </c>
      <c r="L319">
        <v>1.92</v>
      </c>
      <c r="M319">
        <v>0</v>
      </c>
      <c r="N319" t="s">
        <v>66</v>
      </c>
    </row>
    <row r="320" spans="1:14" x14ac:dyDescent="0.25">
      <c r="A320" t="s">
        <v>64</v>
      </c>
      <c r="B320">
        <v>1718</v>
      </c>
      <c r="C320" s="1">
        <v>43005</v>
      </c>
      <c r="D320" t="s">
        <v>227</v>
      </c>
      <c r="E320" s="1">
        <v>42990</v>
      </c>
      <c r="F320">
        <v>0</v>
      </c>
      <c r="G320" s="1">
        <v>43010</v>
      </c>
      <c r="H320" s="1">
        <v>43010</v>
      </c>
      <c r="I320" t="s">
        <v>15</v>
      </c>
      <c r="J320">
        <v>2.34</v>
      </c>
      <c r="K320">
        <v>0.42</v>
      </c>
      <c r="L320">
        <v>1.92</v>
      </c>
      <c r="M320">
        <v>0</v>
      </c>
      <c r="N320" t="s">
        <v>66</v>
      </c>
    </row>
    <row r="321" spans="1:14" x14ac:dyDescent="0.25">
      <c r="A321" t="s">
        <v>64</v>
      </c>
      <c r="B321">
        <v>1907</v>
      </c>
      <c r="C321" s="1">
        <v>43033</v>
      </c>
      <c r="D321" t="s">
        <v>228</v>
      </c>
      <c r="E321" s="1">
        <v>43014</v>
      </c>
      <c r="F321">
        <v>0</v>
      </c>
      <c r="G321" s="1">
        <v>43034</v>
      </c>
      <c r="H321" s="1">
        <v>43034</v>
      </c>
      <c r="I321" t="s">
        <v>15</v>
      </c>
      <c r="J321">
        <v>2.34</v>
      </c>
      <c r="K321">
        <v>0.42</v>
      </c>
      <c r="L321">
        <v>1.92</v>
      </c>
      <c r="M321">
        <v>0</v>
      </c>
      <c r="N321" t="s">
        <v>66</v>
      </c>
    </row>
    <row r="322" spans="1:14" x14ac:dyDescent="0.25">
      <c r="A322" t="s">
        <v>64</v>
      </c>
      <c r="B322">
        <v>1720</v>
      </c>
      <c r="C322" s="1">
        <v>43005</v>
      </c>
      <c r="D322" t="s">
        <v>229</v>
      </c>
      <c r="E322" s="1">
        <v>42990</v>
      </c>
      <c r="F322">
        <v>0</v>
      </c>
      <c r="G322" s="1">
        <v>43010</v>
      </c>
      <c r="H322" s="1">
        <v>43010</v>
      </c>
      <c r="I322" t="s">
        <v>15</v>
      </c>
      <c r="J322">
        <v>49.95</v>
      </c>
      <c r="K322">
        <v>9.01</v>
      </c>
      <c r="L322">
        <v>40.94</v>
      </c>
      <c r="M322">
        <v>0</v>
      </c>
      <c r="N322" t="s">
        <v>66</v>
      </c>
    </row>
    <row r="323" spans="1:14" x14ac:dyDescent="0.25">
      <c r="A323" t="s">
        <v>64</v>
      </c>
      <c r="B323">
        <v>537</v>
      </c>
      <c r="C323" s="1">
        <v>42821</v>
      </c>
      <c r="D323" t="s">
        <v>230</v>
      </c>
      <c r="E323" s="1">
        <v>42801</v>
      </c>
      <c r="F323">
        <v>0</v>
      </c>
      <c r="G323" s="1">
        <v>42821</v>
      </c>
      <c r="H323" s="1">
        <v>42821</v>
      </c>
      <c r="I323" t="s">
        <v>15</v>
      </c>
      <c r="J323">
        <v>585.5</v>
      </c>
      <c r="K323">
        <v>81.94</v>
      </c>
      <c r="L323">
        <v>503.56</v>
      </c>
      <c r="M323">
        <v>0</v>
      </c>
      <c r="N323" t="s">
        <v>66</v>
      </c>
    </row>
    <row r="324" spans="1:14" x14ac:dyDescent="0.25">
      <c r="A324" t="s">
        <v>64</v>
      </c>
      <c r="B324">
        <v>1912</v>
      </c>
      <c r="C324" s="1">
        <v>43033</v>
      </c>
      <c r="D324" t="s">
        <v>231</v>
      </c>
      <c r="E324" s="1">
        <v>43014</v>
      </c>
      <c r="F324">
        <v>0</v>
      </c>
      <c r="G324" s="1">
        <v>43034</v>
      </c>
      <c r="H324" s="1">
        <v>43034</v>
      </c>
      <c r="I324" t="s">
        <v>15</v>
      </c>
      <c r="J324">
        <v>34.86</v>
      </c>
      <c r="K324">
        <v>6.29</v>
      </c>
      <c r="L324">
        <v>28.57</v>
      </c>
      <c r="M324">
        <v>0</v>
      </c>
      <c r="N324" t="s">
        <v>66</v>
      </c>
    </row>
    <row r="325" spans="1:14" x14ac:dyDescent="0.25">
      <c r="A325" t="s">
        <v>64</v>
      </c>
      <c r="B325">
        <v>1723</v>
      </c>
      <c r="C325" s="1">
        <v>43005</v>
      </c>
      <c r="D325" t="s">
        <v>232</v>
      </c>
      <c r="E325" s="1">
        <v>42990</v>
      </c>
      <c r="F325">
        <v>0</v>
      </c>
      <c r="G325" s="1">
        <v>43010</v>
      </c>
      <c r="H325" s="1">
        <v>43010</v>
      </c>
      <c r="I325" t="s">
        <v>15</v>
      </c>
      <c r="J325">
        <v>34.86</v>
      </c>
      <c r="K325">
        <v>6.29</v>
      </c>
      <c r="L325">
        <v>28.57</v>
      </c>
      <c r="M325">
        <v>0</v>
      </c>
      <c r="N325" t="s">
        <v>66</v>
      </c>
    </row>
    <row r="326" spans="1:14" x14ac:dyDescent="0.25">
      <c r="A326" t="s">
        <v>64</v>
      </c>
      <c r="B326">
        <v>540</v>
      </c>
      <c r="C326" s="1">
        <v>42821</v>
      </c>
      <c r="D326" t="s">
        <v>233</v>
      </c>
      <c r="E326" s="1">
        <v>42801</v>
      </c>
      <c r="F326">
        <v>0</v>
      </c>
      <c r="G326" s="1">
        <v>42821</v>
      </c>
      <c r="H326" s="1">
        <v>42821</v>
      </c>
      <c r="I326" t="s">
        <v>15</v>
      </c>
      <c r="J326" s="2">
        <v>1984.64</v>
      </c>
      <c r="K326">
        <v>334.24</v>
      </c>
      <c r="L326" s="2">
        <v>1650.4</v>
      </c>
      <c r="M326">
        <v>0</v>
      </c>
      <c r="N326" t="s">
        <v>66</v>
      </c>
    </row>
    <row r="327" spans="1:14" x14ac:dyDescent="0.25">
      <c r="A327" t="s">
        <v>64</v>
      </c>
      <c r="B327">
        <v>1719</v>
      </c>
      <c r="C327" s="1">
        <v>43005</v>
      </c>
      <c r="D327" t="s">
        <v>234</v>
      </c>
      <c r="E327" s="1">
        <v>42990</v>
      </c>
      <c r="F327">
        <v>0</v>
      </c>
      <c r="G327" s="1">
        <v>43010</v>
      </c>
      <c r="H327" s="1">
        <v>43010</v>
      </c>
      <c r="I327" t="s">
        <v>15</v>
      </c>
      <c r="J327">
        <v>34.86</v>
      </c>
      <c r="K327">
        <v>6.29</v>
      </c>
      <c r="L327">
        <v>28.57</v>
      </c>
      <c r="M327">
        <v>0</v>
      </c>
      <c r="N327" t="s">
        <v>66</v>
      </c>
    </row>
    <row r="328" spans="1:14" x14ac:dyDescent="0.25">
      <c r="A328" t="s">
        <v>64</v>
      </c>
      <c r="B328">
        <v>534</v>
      </c>
      <c r="C328" s="1">
        <v>42821</v>
      </c>
      <c r="D328" t="s">
        <v>235</v>
      </c>
      <c r="E328" s="1">
        <v>42801</v>
      </c>
      <c r="F328">
        <v>0</v>
      </c>
      <c r="G328" s="1">
        <v>42821</v>
      </c>
      <c r="H328" s="1">
        <v>42821</v>
      </c>
      <c r="I328" t="s">
        <v>15</v>
      </c>
      <c r="J328">
        <v>2.34</v>
      </c>
      <c r="K328">
        <v>0.42</v>
      </c>
      <c r="L328">
        <v>1.92</v>
      </c>
      <c r="M328">
        <v>0</v>
      </c>
      <c r="N328" t="s">
        <v>66</v>
      </c>
    </row>
    <row r="329" spans="1:14" x14ac:dyDescent="0.25">
      <c r="A329" t="s">
        <v>64</v>
      </c>
      <c r="B329">
        <v>539</v>
      </c>
      <c r="C329" s="1">
        <v>42821</v>
      </c>
      <c r="D329" t="s">
        <v>236</v>
      </c>
      <c r="E329" s="1">
        <v>42801</v>
      </c>
      <c r="F329">
        <v>0</v>
      </c>
      <c r="G329" s="1">
        <v>42821</v>
      </c>
      <c r="H329" s="1">
        <v>42821</v>
      </c>
      <c r="I329" t="s">
        <v>15</v>
      </c>
      <c r="J329">
        <v>901.23</v>
      </c>
      <c r="K329">
        <v>138.87</v>
      </c>
      <c r="L329">
        <v>762.36</v>
      </c>
      <c r="M329">
        <v>0</v>
      </c>
      <c r="N329" t="s">
        <v>66</v>
      </c>
    </row>
    <row r="330" spans="1:14" x14ac:dyDescent="0.25">
      <c r="A330" t="s">
        <v>64</v>
      </c>
      <c r="B330">
        <v>542</v>
      </c>
      <c r="C330" s="1">
        <v>42821</v>
      </c>
      <c r="D330" t="s">
        <v>237</v>
      </c>
      <c r="E330" s="1">
        <v>42801</v>
      </c>
      <c r="F330">
        <v>0</v>
      </c>
      <c r="G330" s="1">
        <v>42821</v>
      </c>
      <c r="H330" s="1">
        <v>42821</v>
      </c>
      <c r="I330" t="s">
        <v>15</v>
      </c>
      <c r="J330" s="2">
        <v>4927.99</v>
      </c>
      <c r="K330">
        <v>865.01</v>
      </c>
      <c r="L330" s="2">
        <v>4062.98</v>
      </c>
      <c r="M330">
        <v>0</v>
      </c>
      <c r="N330" t="s">
        <v>66</v>
      </c>
    </row>
    <row r="331" spans="1:14" x14ac:dyDescent="0.25">
      <c r="A331" t="s">
        <v>64</v>
      </c>
      <c r="B331">
        <v>1724</v>
      </c>
      <c r="C331" s="1">
        <v>43005</v>
      </c>
      <c r="D331" t="s">
        <v>238</v>
      </c>
      <c r="E331" s="1">
        <v>42990</v>
      </c>
      <c r="F331">
        <v>0</v>
      </c>
      <c r="G331" s="1">
        <v>43010</v>
      </c>
      <c r="H331" s="1">
        <v>43010</v>
      </c>
      <c r="I331" t="s">
        <v>15</v>
      </c>
      <c r="J331">
        <v>34.86</v>
      </c>
      <c r="K331">
        <v>6.29</v>
      </c>
      <c r="L331">
        <v>28.57</v>
      </c>
      <c r="M331">
        <v>0</v>
      </c>
      <c r="N331" t="s">
        <v>66</v>
      </c>
    </row>
    <row r="332" spans="1:14" x14ac:dyDescent="0.25">
      <c r="A332" t="s">
        <v>64</v>
      </c>
      <c r="B332">
        <v>1725</v>
      </c>
      <c r="C332" s="1">
        <v>43005</v>
      </c>
      <c r="D332" t="s">
        <v>239</v>
      </c>
      <c r="E332" s="1">
        <v>42990</v>
      </c>
      <c r="F332">
        <v>0</v>
      </c>
      <c r="G332" s="1">
        <v>43010</v>
      </c>
      <c r="H332" s="1">
        <v>43010</v>
      </c>
      <c r="I332" t="s">
        <v>15</v>
      </c>
      <c r="J332">
        <v>90.34</v>
      </c>
      <c r="K332">
        <v>16.29</v>
      </c>
      <c r="L332">
        <v>74.05</v>
      </c>
      <c r="M332">
        <v>0</v>
      </c>
      <c r="N332" t="s">
        <v>66</v>
      </c>
    </row>
    <row r="333" spans="1:14" x14ac:dyDescent="0.25">
      <c r="A333" t="s">
        <v>64</v>
      </c>
      <c r="B333">
        <v>1914</v>
      </c>
      <c r="C333" s="1">
        <v>43033</v>
      </c>
      <c r="D333" t="s">
        <v>240</v>
      </c>
      <c r="E333" s="1">
        <v>43014</v>
      </c>
      <c r="F333">
        <v>0</v>
      </c>
      <c r="G333" s="1">
        <v>43034</v>
      </c>
      <c r="H333" s="1">
        <v>43034</v>
      </c>
      <c r="I333" t="s">
        <v>15</v>
      </c>
      <c r="J333">
        <v>90.34</v>
      </c>
      <c r="K333">
        <v>16.29</v>
      </c>
      <c r="L333">
        <v>74.05</v>
      </c>
      <c r="M333">
        <v>0</v>
      </c>
      <c r="N333" t="s">
        <v>66</v>
      </c>
    </row>
    <row r="334" spans="1:14" x14ac:dyDescent="0.25">
      <c r="A334" t="s">
        <v>57</v>
      </c>
      <c r="B334">
        <v>2059</v>
      </c>
      <c r="C334" s="1">
        <v>43059</v>
      </c>
      <c r="D334" t="s">
        <v>189</v>
      </c>
      <c r="E334" s="1">
        <v>43024</v>
      </c>
      <c r="F334">
        <v>0</v>
      </c>
      <c r="G334" s="1">
        <v>43054</v>
      </c>
      <c r="H334" s="1">
        <v>43054</v>
      </c>
      <c r="I334" t="s">
        <v>15</v>
      </c>
      <c r="J334">
        <v>8.73</v>
      </c>
      <c r="K334">
        <v>0</v>
      </c>
      <c r="L334">
        <v>8.73</v>
      </c>
      <c r="M334">
        <v>0</v>
      </c>
      <c r="N334" t="s">
        <v>59</v>
      </c>
    </row>
    <row r="335" spans="1:14" x14ac:dyDescent="0.25">
      <c r="A335" t="s">
        <v>57</v>
      </c>
      <c r="B335">
        <v>2323</v>
      </c>
      <c r="C335" s="1">
        <v>43087</v>
      </c>
      <c r="D335" t="s">
        <v>191</v>
      </c>
      <c r="E335" s="1">
        <v>43054</v>
      </c>
      <c r="F335">
        <v>0</v>
      </c>
      <c r="G335" s="1">
        <v>43084</v>
      </c>
      <c r="H335" s="1">
        <v>43084</v>
      </c>
      <c r="I335" t="s">
        <v>15</v>
      </c>
      <c r="J335" s="2">
        <v>1750</v>
      </c>
      <c r="K335">
        <v>315.57</v>
      </c>
      <c r="L335" s="2">
        <v>1434.43</v>
      </c>
      <c r="M335">
        <v>0</v>
      </c>
      <c r="N335" t="s">
        <v>59</v>
      </c>
    </row>
    <row r="336" spans="1:14" x14ac:dyDescent="0.25">
      <c r="A336" t="s">
        <v>57</v>
      </c>
      <c r="B336">
        <v>375</v>
      </c>
      <c r="C336" s="1">
        <v>42797</v>
      </c>
      <c r="D336" t="s">
        <v>142</v>
      </c>
      <c r="E336" s="1">
        <v>42751</v>
      </c>
      <c r="F336">
        <v>0</v>
      </c>
      <c r="G336" s="1">
        <v>42781</v>
      </c>
      <c r="H336" s="1">
        <v>42781</v>
      </c>
      <c r="I336" t="s">
        <v>15</v>
      </c>
      <c r="J336">
        <v>8.73</v>
      </c>
      <c r="K336">
        <v>1.57</v>
      </c>
      <c r="L336">
        <v>7.16</v>
      </c>
      <c r="M336">
        <v>0</v>
      </c>
      <c r="N336" t="s">
        <v>59</v>
      </c>
    </row>
    <row r="337" spans="1:14" x14ac:dyDescent="0.25">
      <c r="A337" t="s">
        <v>40</v>
      </c>
      <c r="B337">
        <v>1292</v>
      </c>
      <c r="C337" s="1">
        <v>42933</v>
      </c>
      <c r="D337" t="str">
        <f>"600004463566"</f>
        <v>600004463566</v>
      </c>
      <c r="E337" s="1">
        <v>42908</v>
      </c>
      <c r="F337">
        <v>0</v>
      </c>
      <c r="G337" s="1">
        <v>42934</v>
      </c>
      <c r="H337" s="1">
        <v>42936</v>
      </c>
      <c r="I337" t="s">
        <v>15</v>
      </c>
      <c r="J337">
        <v>16.73</v>
      </c>
      <c r="K337">
        <v>1.37</v>
      </c>
      <c r="L337">
        <v>15.36</v>
      </c>
      <c r="M337">
        <v>-2</v>
      </c>
      <c r="N337" t="s">
        <v>41</v>
      </c>
    </row>
    <row r="338" spans="1:14" x14ac:dyDescent="0.25">
      <c r="A338" t="s">
        <v>40</v>
      </c>
      <c r="B338">
        <v>1304</v>
      </c>
      <c r="C338" s="1">
        <v>42934</v>
      </c>
      <c r="D338" t="str">
        <f>"600004463559"</f>
        <v>600004463559</v>
      </c>
      <c r="E338" s="1">
        <v>42908</v>
      </c>
      <c r="F338">
        <v>0</v>
      </c>
      <c r="G338" s="1">
        <v>42934</v>
      </c>
      <c r="H338" s="1">
        <v>42936</v>
      </c>
      <c r="I338" t="s">
        <v>15</v>
      </c>
      <c r="J338">
        <v>0.43</v>
      </c>
      <c r="K338">
        <v>0.43</v>
      </c>
      <c r="L338">
        <v>0</v>
      </c>
      <c r="M338">
        <v>-2</v>
      </c>
      <c r="N338" t="s">
        <v>41</v>
      </c>
    </row>
    <row r="339" spans="1:14" x14ac:dyDescent="0.25">
      <c r="A339" t="s">
        <v>40</v>
      </c>
      <c r="B339">
        <v>1289</v>
      </c>
      <c r="C339" s="1">
        <v>42933</v>
      </c>
      <c r="D339" t="str">
        <f>"600004463553"</f>
        <v>600004463553</v>
      </c>
      <c r="E339" s="1">
        <v>42908</v>
      </c>
      <c r="F339">
        <v>0</v>
      </c>
      <c r="G339" s="1">
        <v>42934</v>
      </c>
      <c r="H339" s="1">
        <v>42936</v>
      </c>
      <c r="I339" t="s">
        <v>15</v>
      </c>
      <c r="J339">
        <v>47.77</v>
      </c>
      <c r="K339">
        <v>4.1900000000000004</v>
      </c>
      <c r="L339">
        <v>43.58</v>
      </c>
      <c r="M339">
        <v>-2</v>
      </c>
      <c r="N339" t="s">
        <v>41</v>
      </c>
    </row>
    <row r="340" spans="1:14" x14ac:dyDescent="0.25">
      <c r="A340" t="s">
        <v>40</v>
      </c>
      <c r="B340">
        <v>1305</v>
      </c>
      <c r="C340" s="1">
        <v>42934</v>
      </c>
      <c r="D340" t="str">
        <f>"600004463573"</f>
        <v>600004463573</v>
      </c>
      <c r="E340" s="1">
        <v>42908</v>
      </c>
      <c r="F340">
        <v>0</v>
      </c>
      <c r="G340" s="1">
        <v>42934</v>
      </c>
      <c r="H340" s="1">
        <v>42936</v>
      </c>
      <c r="I340" t="s">
        <v>15</v>
      </c>
      <c r="J340">
        <v>0.43</v>
      </c>
      <c r="K340">
        <v>0.43</v>
      </c>
      <c r="L340">
        <v>0</v>
      </c>
      <c r="M340">
        <v>-2</v>
      </c>
      <c r="N340" t="s">
        <v>41</v>
      </c>
    </row>
    <row r="341" spans="1:14" x14ac:dyDescent="0.25">
      <c r="A341" t="s">
        <v>40</v>
      </c>
      <c r="B341">
        <v>1291</v>
      </c>
      <c r="C341" s="1">
        <v>42933</v>
      </c>
      <c r="D341" t="str">
        <f>"600004463558"</f>
        <v>600004463558</v>
      </c>
      <c r="E341" s="1">
        <v>42908</v>
      </c>
      <c r="F341">
        <v>0</v>
      </c>
      <c r="G341" s="1">
        <v>42934</v>
      </c>
      <c r="H341" s="1">
        <v>42936</v>
      </c>
      <c r="I341" t="s">
        <v>15</v>
      </c>
      <c r="J341">
        <v>0.35</v>
      </c>
      <c r="K341">
        <v>0.35</v>
      </c>
      <c r="L341">
        <v>0</v>
      </c>
      <c r="M341">
        <v>-2</v>
      </c>
      <c r="N341" t="s">
        <v>41</v>
      </c>
    </row>
    <row r="342" spans="1:14" x14ac:dyDescent="0.25">
      <c r="A342" t="s">
        <v>40</v>
      </c>
      <c r="B342">
        <v>1290</v>
      </c>
      <c r="C342" s="1">
        <v>42933</v>
      </c>
      <c r="D342" t="str">
        <f>"600004463552"</f>
        <v>600004463552</v>
      </c>
      <c r="E342" s="1">
        <v>42908</v>
      </c>
      <c r="F342">
        <v>0</v>
      </c>
      <c r="G342" s="1">
        <v>42934</v>
      </c>
      <c r="H342" s="1">
        <v>42936</v>
      </c>
      <c r="I342" t="s">
        <v>15</v>
      </c>
      <c r="J342">
        <v>65.760000000000005</v>
      </c>
      <c r="K342">
        <v>5.83</v>
      </c>
      <c r="L342">
        <v>59.93</v>
      </c>
      <c r="M342">
        <v>-2</v>
      </c>
      <c r="N342" t="s">
        <v>41</v>
      </c>
    </row>
    <row r="343" spans="1:14" x14ac:dyDescent="0.25">
      <c r="A343" t="s">
        <v>40</v>
      </c>
      <c r="B343">
        <v>1293</v>
      </c>
      <c r="C343" s="1">
        <v>42934</v>
      </c>
      <c r="D343" t="str">
        <f>"600004463574"</f>
        <v>600004463574</v>
      </c>
      <c r="E343" s="1">
        <v>42908</v>
      </c>
      <c r="F343">
        <v>0</v>
      </c>
      <c r="G343" s="1">
        <v>42934</v>
      </c>
      <c r="H343" s="1">
        <v>42936</v>
      </c>
      <c r="I343" t="s">
        <v>15</v>
      </c>
      <c r="J343">
        <v>0.35</v>
      </c>
      <c r="K343">
        <v>0.35</v>
      </c>
      <c r="L343">
        <v>0</v>
      </c>
      <c r="M343">
        <v>-2</v>
      </c>
      <c r="N343" t="s">
        <v>41</v>
      </c>
    </row>
    <row r="344" spans="1:14" x14ac:dyDescent="0.25">
      <c r="A344" t="s">
        <v>40</v>
      </c>
      <c r="B344">
        <v>1288</v>
      </c>
      <c r="C344" s="1">
        <v>42933</v>
      </c>
      <c r="D344" t="str">
        <f>"600004463572"</f>
        <v>600004463572</v>
      </c>
      <c r="E344" s="1">
        <v>42908</v>
      </c>
      <c r="F344">
        <v>0</v>
      </c>
      <c r="G344" s="1">
        <v>42934</v>
      </c>
      <c r="H344" s="1">
        <v>42936</v>
      </c>
      <c r="I344" t="s">
        <v>15</v>
      </c>
      <c r="J344">
        <v>0.61</v>
      </c>
      <c r="K344">
        <v>0.61</v>
      </c>
      <c r="L344">
        <v>0</v>
      </c>
      <c r="M344">
        <v>-2</v>
      </c>
      <c r="N344" t="s">
        <v>41</v>
      </c>
    </row>
    <row r="345" spans="1:14" x14ac:dyDescent="0.25">
      <c r="A345" t="s">
        <v>40</v>
      </c>
      <c r="B345">
        <v>1287</v>
      </c>
      <c r="C345" s="1">
        <v>42933</v>
      </c>
      <c r="D345" t="str">
        <f>"600004463565"</f>
        <v>600004463565</v>
      </c>
      <c r="E345" s="1">
        <v>42908</v>
      </c>
      <c r="F345">
        <v>0</v>
      </c>
      <c r="G345" s="1">
        <v>42934</v>
      </c>
      <c r="H345" s="1">
        <v>42936</v>
      </c>
      <c r="I345" t="s">
        <v>15</v>
      </c>
      <c r="J345">
        <v>23.21</v>
      </c>
      <c r="K345">
        <v>2.11</v>
      </c>
      <c r="L345">
        <v>21.1</v>
      </c>
      <c r="M345">
        <v>-2</v>
      </c>
      <c r="N345" t="s">
        <v>41</v>
      </c>
    </row>
    <row r="346" spans="1:14" x14ac:dyDescent="0.25">
      <c r="A346" t="s">
        <v>40</v>
      </c>
      <c r="B346">
        <v>1282</v>
      </c>
      <c r="C346" s="1">
        <v>42933</v>
      </c>
      <c r="D346" t="str">
        <f>"600004463567"</f>
        <v>600004463567</v>
      </c>
      <c r="E346" s="1">
        <v>42908</v>
      </c>
      <c r="F346">
        <v>0</v>
      </c>
      <c r="G346" s="1">
        <v>42934</v>
      </c>
      <c r="H346" s="1">
        <v>42936</v>
      </c>
      <c r="I346" t="s">
        <v>15</v>
      </c>
      <c r="J346">
        <v>23.21</v>
      </c>
      <c r="K346">
        <v>2.11</v>
      </c>
      <c r="L346">
        <v>21.1</v>
      </c>
      <c r="M346">
        <v>-2</v>
      </c>
      <c r="N346" t="s">
        <v>41</v>
      </c>
    </row>
    <row r="347" spans="1:14" x14ac:dyDescent="0.25">
      <c r="A347" t="s">
        <v>40</v>
      </c>
      <c r="B347">
        <v>1294</v>
      </c>
      <c r="C347" s="1">
        <v>42934</v>
      </c>
      <c r="D347" t="str">
        <f>"600004463564"</f>
        <v>600004463564</v>
      </c>
      <c r="E347" s="1">
        <v>42908</v>
      </c>
      <c r="F347">
        <v>0</v>
      </c>
      <c r="G347" s="1">
        <v>42934</v>
      </c>
      <c r="H347" s="1">
        <v>42936</v>
      </c>
      <c r="I347" t="s">
        <v>15</v>
      </c>
      <c r="J347">
        <v>13.96</v>
      </c>
      <c r="K347">
        <v>1.27</v>
      </c>
      <c r="L347">
        <v>12.69</v>
      </c>
      <c r="M347">
        <v>-2</v>
      </c>
      <c r="N347" t="s">
        <v>41</v>
      </c>
    </row>
    <row r="348" spans="1:14" x14ac:dyDescent="0.25">
      <c r="A348" t="s">
        <v>40</v>
      </c>
      <c r="B348">
        <v>1295</v>
      </c>
      <c r="C348" s="1">
        <v>42934</v>
      </c>
      <c r="D348" t="str">
        <f>"600004463561"</f>
        <v>600004463561</v>
      </c>
      <c r="E348" s="1">
        <v>42908</v>
      </c>
      <c r="F348">
        <v>0</v>
      </c>
      <c r="G348" s="1">
        <v>42934</v>
      </c>
      <c r="H348" s="1">
        <v>42936</v>
      </c>
      <c r="I348" t="s">
        <v>15</v>
      </c>
      <c r="J348">
        <v>137.63999999999999</v>
      </c>
      <c r="K348">
        <v>12.36</v>
      </c>
      <c r="L348">
        <v>125.28</v>
      </c>
      <c r="M348">
        <v>-2</v>
      </c>
      <c r="N348" t="s">
        <v>41</v>
      </c>
    </row>
    <row r="349" spans="1:14" x14ac:dyDescent="0.25">
      <c r="A349" t="s">
        <v>40</v>
      </c>
      <c r="B349">
        <v>1286</v>
      </c>
      <c r="C349" s="1">
        <v>42933</v>
      </c>
      <c r="D349" t="str">
        <f>"600004463555"</f>
        <v>600004463555</v>
      </c>
      <c r="E349" s="1">
        <v>42908</v>
      </c>
      <c r="F349">
        <v>0</v>
      </c>
      <c r="G349" s="1">
        <v>42934</v>
      </c>
      <c r="H349" s="1">
        <v>42936</v>
      </c>
      <c r="I349" t="s">
        <v>15</v>
      </c>
      <c r="J349">
        <v>16.73</v>
      </c>
      <c r="K349">
        <v>1.37</v>
      </c>
      <c r="L349">
        <v>15.36</v>
      </c>
      <c r="M349">
        <v>-2</v>
      </c>
      <c r="N349" t="s">
        <v>41</v>
      </c>
    </row>
    <row r="350" spans="1:14" x14ac:dyDescent="0.25">
      <c r="A350" t="s">
        <v>40</v>
      </c>
      <c r="B350">
        <v>1297</v>
      </c>
      <c r="C350" s="1">
        <v>42934</v>
      </c>
      <c r="D350" t="str">
        <f>"600004463560"</f>
        <v>600004463560</v>
      </c>
      <c r="E350" s="1">
        <v>42908</v>
      </c>
      <c r="F350">
        <v>0</v>
      </c>
      <c r="G350" s="1">
        <v>42934</v>
      </c>
      <c r="H350" s="1">
        <v>42936</v>
      </c>
      <c r="I350" t="s">
        <v>15</v>
      </c>
      <c r="J350">
        <v>23.21</v>
      </c>
      <c r="K350">
        <v>2.11</v>
      </c>
      <c r="L350">
        <v>21.1</v>
      </c>
      <c r="M350">
        <v>-2</v>
      </c>
      <c r="N350" t="s">
        <v>41</v>
      </c>
    </row>
    <row r="351" spans="1:14" x14ac:dyDescent="0.25">
      <c r="A351" t="s">
        <v>40</v>
      </c>
      <c r="B351">
        <v>1299</v>
      </c>
      <c r="C351" s="1">
        <v>42934</v>
      </c>
      <c r="D351" t="str">
        <f>"600004463554"</f>
        <v>600004463554</v>
      </c>
      <c r="E351" s="1">
        <v>42908</v>
      </c>
      <c r="F351">
        <v>0</v>
      </c>
      <c r="G351" s="1">
        <v>42934</v>
      </c>
      <c r="H351" s="1">
        <v>42936</v>
      </c>
      <c r="I351" t="s">
        <v>15</v>
      </c>
      <c r="J351">
        <v>108.24</v>
      </c>
      <c r="K351">
        <v>9.69</v>
      </c>
      <c r="L351">
        <v>98.55</v>
      </c>
      <c r="M351">
        <v>-2</v>
      </c>
      <c r="N351" t="s">
        <v>41</v>
      </c>
    </row>
    <row r="352" spans="1:14" x14ac:dyDescent="0.25">
      <c r="A352" t="s">
        <v>40</v>
      </c>
      <c r="B352">
        <v>1306</v>
      </c>
      <c r="C352" s="1">
        <v>42934</v>
      </c>
      <c r="D352" t="str">
        <f>"600004463576"</f>
        <v>600004463576</v>
      </c>
      <c r="E352" s="1">
        <v>42908</v>
      </c>
      <c r="F352">
        <v>0</v>
      </c>
      <c r="G352" s="1">
        <v>42934</v>
      </c>
      <c r="H352" s="1">
        <v>42936</v>
      </c>
      <c r="I352" t="s">
        <v>15</v>
      </c>
      <c r="J352">
        <v>12.43</v>
      </c>
      <c r="K352">
        <v>0.4</v>
      </c>
      <c r="L352">
        <v>12.03</v>
      </c>
      <c r="M352">
        <v>-2</v>
      </c>
      <c r="N352" t="s">
        <v>41</v>
      </c>
    </row>
    <row r="353" spans="1:14" x14ac:dyDescent="0.25">
      <c r="A353" t="s">
        <v>40</v>
      </c>
      <c r="B353">
        <v>1301</v>
      </c>
      <c r="C353" s="1">
        <v>42934</v>
      </c>
      <c r="D353" t="str">
        <f>"600004463563"</f>
        <v>600004463563</v>
      </c>
      <c r="E353" s="1">
        <v>42908</v>
      </c>
      <c r="F353">
        <v>0</v>
      </c>
      <c r="G353" s="1">
        <v>42934</v>
      </c>
      <c r="H353" s="1">
        <v>42936</v>
      </c>
      <c r="I353" t="s">
        <v>15</v>
      </c>
      <c r="J353">
        <v>21.71</v>
      </c>
      <c r="K353">
        <v>1.82</v>
      </c>
      <c r="L353">
        <v>19.89</v>
      </c>
      <c r="M353">
        <v>-2</v>
      </c>
      <c r="N353" t="s">
        <v>41</v>
      </c>
    </row>
    <row r="354" spans="1:14" x14ac:dyDescent="0.25">
      <c r="A354" t="s">
        <v>40</v>
      </c>
      <c r="B354">
        <v>1307</v>
      </c>
      <c r="C354" s="1">
        <v>42934</v>
      </c>
      <c r="D354" t="str">
        <f>"600004463557"</f>
        <v>600004463557</v>
      </c>
      <c r="E354" s="1">
        <v>42908</v>
      </c>
      <c r="F354">
        <v>0</v>
      </c>
      <c r="G354" s="1">
        <v>42934</v>
      </c>
      <c r="H354" s="1">
        <v>42936</v>
      </c>
      <c r="I354" t="s">
        <v>15</v>
      </c>
      <c r="J354">
        <v>0.46</v>
      </c>
      <c r="K354">
        <v>0.46</v>
      </c>
      <c r="L354">
        <v>0</v>
      </c>
      <c r="M354">
        <v>-2</v>
      </c>
      <c r="N354" t="s">
        <v>41</v>
      </c>
    </row>
    <row r="355" spans="1:14" x14ac:dyDescent="0.25">
      <c r="A355" t="s">
        <v>40</v>
      </c>
      <c r="B355">
        <v>1302</v>
      </c>
      <c r="C355" s="1">
        <v>42934</v>
      </c>
      <c r="D355" t="str">
        <f>"600004463551"</f>
        <v>600004463551</v>
      </c>
      <c r="E355" s="1">
        <v>42908</v>
      </c>
      <c r="F355">
        <v>0</v>
      </c>
      <c r="G355" s="1">
        <v>42934</v>
      </c>
      <c r="H355" s="1">
        <v>42936</v>
      </c>
      <c r="I355" t="s">
        <v>15</v>
      </c>
      <c r="J355">
        <v>31.88</v>
      </c>
      <c r="K355">
        <v>2.75</v>
      </c>
      <c r="L355">
        <v>29.13</v>
      </c>
      <c r="M355">
        <v>-2</v>
      </c>
      <c r="N355" t="s">
        <v>41</v>
      </c>
    </row>
    <row r="356" spans="1:14" x14ac:dyDescent="0.25">
      <c r="A356" t="s">
        <v>40</v>
      </c>
      <c r="B356">
        <v>1285</v>
      </c>
      <c r="C356" s="1">
        <v>42933</v>
      </c>
      <c r="D356" t="str">
        <f>"600004463562"</f>
        <v>600004463562</v>
      </c>
      <c r="E356" s="1">
        <v>42908</v>
      </c>
      <c r="F356">
        <v>0</v>
      </c>
      <c r="G356" s="1">
        <v>42934</v>
      </c>
      <c r="H356" s="1">
        <v>42936</v>
      </c>
      <c r="I356" t="s">
        <v>15</v>
      </c>
      <c r="J356">
        <v>168.71</v>
      </c>
      <c r="K356">
        <v>15.19</v>
      </c>
      <c r="L356">
        <v>153.52000000000001</v>
      </c>
      <c r="M356">
        <v>-2</v>
      </c>
      <c r="N356" t="s">
        <v>41</v>
      </c>
    </row>
    <row r="357" spans="1:14" x14ac:dyDescent="0.25">
      <c r="A357" t="s">
        <v>40</v>
      </c>
      <c r="B357">
        <v>1296</v>
      </c>
      <c r="C357" s="1">
        <v>42934</v>
      </c>
      <c r="D357" t="str">
        <f>"600004463571"</f>
        <v>600004463571</v>
      </c>
      <c r="E357" s="1">
        <v>42908</v>
      </c>
      <c r="F357">
        <v>0</v>
      </c>
      <c r="G357" s="1">
        <v>42934</v>
      </c>
      <c r="H357" s="1">
        <v>42936</v>
      </c>
      <c r="I357" t="s">
        <v>15</v>
      </c>
      <c r="J357">
        <v>0.52</v>
      </c>
      <c r="K357">
        <v>0.52</v>
      </c>
      <c r="L357">
        <v>0</v>
      </c>
      <c r="M357">
        <v>-2</v>
      </c>
      <c r="N357" t="s">
        <v>41</v>
      </c>
    </row>
    <row r="358" spans="1:14" x14ac:dyDescent="0.25">
      <c r="A358" t="s">
        <v>40</v>
      </c>
      <c r="B358">
        <v>1300</v>
      </c>
      <c r="C358" s="1">
        <v>42934</v>
      </c>
      <c r="D358" t="str">
        <f>"600004463570"</f>
        <v>600004463570</v>
      </c>
      <c r="E358" s="1">
        <v>42908</v>
      </c>
      <c r="F358">
        <v>0</v>
      </c>
      <c r="G358" s="1">
        <v>42934</v>
      </c>
      <c r="H358" s="1">
        <v>42936</v>
      </c>
      <c r="I358" t="s">
        <v>15</v>
      </c>
      <c r="J358">
        <v>0.35</v>
      </c>
      <c r="K358">
        <v>0.35</v>
      </c>
      <c r="L358">
        <v>0</v>
      </c>
      <c r="M358">
        <v>-2</v>
      </c>
      <c r="N358" t="s">
        <v>41</v>
      </c>
    </row>
    <row r="359" spans="1:14" x14ac:dyDescent="0.25">
      <c r="A359" t="s">
        <v>40</v>
      </c>
      <c r="B359">
        <v>1281</v>
      </c>
      <c r="C359" s="1">
        <v>42933</v>
      </c>
      <c r="D359" t="str">
        <f>"600004463556"</f>
        <v>600004463556</v>
      </c>
      <c r="E359" s="1">
        <v>42908</v>
      </c>
      <c r="F359">
        <v>0</v>
      </c>
      <c r="G359" s="1">
        <v>42934</v>
      </c>
      <c r="H359" s="1">
        <v>42936</v>
      </c>
      <c r="I359" t="s">
        <v>15</v>
      </c>
      <c r="J359">
        <v>51.04</v>
      </c>
      <c r="K359">
        <v>4.49</v>
      </c>
      <c r="L359">
        <v>46.55</v>
      </c>
      <c r="M359">
        <v>-2</v>
      </c>
      <c r="N359" t="s">
        <v>41</v>
      </c>
    </row>
    <row r="360" spans="1:14" x14ac:dyDescent="0.25">
      <c r="A360" t="s">
        <v>40</v>
      </c>
      <c r="B360">
        <v>1303</v>
      </c>
      <c r="C360" s="1">
        <v>42934</v>
      </c>
      <c r="D360" t="str">
        <f>"600004463569"</f>
        <v>600004463569</v>
      </c>
      <c r="E360" s="1">
        <v>42908</v>
      </c>
      <c r="F360">
        <v>0</v>
      </c>
      <c r="G360" s="1">
        <v>42934</v>
      </c>
      <c r="H360" s="1">
        <v>42936</v>
      </c>
      <c r="I360" t="s">
        <v>15</v>
      </c>
      <c r="J360">
        <v>12.43</v>
      </c>
      <c r="K360">
        <v>0.4</v>
      </c>
      <c r="L360">
        <v>12.03</v>
      </c>
      <c r="M360">
        <v>-2</v>
      </c>
      <c r="N360" t="s">
        <v>41</v>
      </c>
    </row>
    <row r="361" spans="1:14" x14ac:dyDescent="0.25">
      <c r="A361" t="s">
        <v>40</v>
      </c>
      <c r="B361">
        <v>1298</v>
      </c>
      <c r="C361" s="1">
        <v>42934</v>
      </c>
      <c r="D361" t="str">
        <f>"600004463577"</f>
        <v>600004463577</v>
      </c>
      <c r="E361" s="1">
        <v>42908</v>
      </c>
      <c r="F361">
        <v>0</v>
      </c>
      <c r="G361" s="1">
        <v>42934</v>
      </c>
      <c r="H361" s="1">
        <v>42936</v>
      </c>
      <c r="I361" t="s">
        <v>15</v>
      </c>
      <c r="J361">
        <v>30.81</v>
      </c>
      <c r="K361">
        <v>2.8</v>
      </c>
      <c r="L361">
        <v>28.01</v>
      </c>
      <c r="M361">
        <v>-2</v>
      </c>
      <c r="N361" t="s">
        <v>41</v>
      </c>
    </row>
    <row r="362" spans="1:14" x14ac:dyDescent="0.25">
      <c r="A362" t="s">
        <v>40</v>
      </c>
      <c r="B362">
        <v>1284</v>
      </c>
      <c r="C362" s="1">
        <v>42933</v>
      </c>
      <c r="D362" t="str">
        <f>"600004463568"</f>
        <v>600004463568</v>
      </c>
      <c r="E362" s="1">
        <v>42908</v>
      </c>
      <c r="F362">
        <v>0</v>
      </c>
      <c r="G362" s="1">
        <v>42934</v>
      </c>
      <c r="H362" s="1">
        <v>42936</v>
      </c>
      <c r="I362" t="s">
        <v>15</v>
      </c>
      <c r="J362">
        <v>28.14</v>
      </c>
      <c r="K362">
        <v>2.41</v>
      </c>
      <c r="L362">
        <v>25.73</v>
      </c>
      <c r="M362">
        <v>-2</v>
      </c>
      <c r="N362" t="s">
        <v>41</v>
      </c>
    </row>
    <row r="363" spans="1:14" x14ac:dyDescent="0.25">
      <c r="A363" t="s">
        <v>40</v>
      </c>
      <c r="B363">
        <v>1283</v>
      </c>
      <c r="C363" s="1">
        <v>42933</v>
      </c>
      <c r="D363" t="str">
        <f>"600004463575"</f>
        <v>600004463575</v>
      </c>
      <c r="E363" s="1">
        <v>42908</v>
      </c>
      <c r="F363">
        <v>0</v>
      </c>
      <c r="G363" s="1">
        <v>42934</v>
      </c>
      <c r="H363" s="1">
        <v>42936</v>
      </c>
      <c r="I363" t="s">
        <v>15</v>
      </c>
      <c r="J363">
        <v>13.96</v>
      </c>
      <c r="K363">
        <v>1.27</v>
      </c>
      <c r="L363">
        <v>12.69</v>
      </c>
      <c r="M363">
        <v>-2</v>
      </c>
      <c r="N363" t="s">
        <v>41</v>
      </c>
    </row>
    <row r="364" spans="1:14" x14ac:dyDescent="0.25">
      <c r="A364" t="s">
        <v>241</v>
      </c>
      <c r="B364">
        <v>1187</v>
      </c>
      <c r="C364" s="1">
        <v>42914</v>
      </c>
      <c r="D364" t="s">
        <v>242</v>
      </c>
      <c r="E364" s="1">
        <v>42884</v>
      </c>
      <c r="F364">
        <v>0</v>
      </c>
      <c r="G364" s="1">
        <v>42914</v>
      </c>
      <c r="H364" s="1">
        <v>42916</v>
      </c>
      <c r="I364" t="s">
        <v>15</v>
      </c>
      <c r="J364">
        <v>226.92</v>
      </c>
      <c r="K364">
        <v>40.92</v>
      </c>
      <c r="L364">
        <v>186</v>
      </c>
      <c r="M364">
        <v>-2</v>
      </c>
      <c r="N364" t="s">
        <v>145</v>
      </c>
    </row>
    <row r="365" spans="1:14" x14ac:dyDescent="0.25">
      <c r="A365" t="s">
        <v>49</v>
      </c>
      <c r="B365">
        <v>1546</v>
      </c>
      <c r="C365" s="1">
        <v>42968</v>
      </c>
      <c r="D365" t="s">
        <v>243</v>
      </c>
      <c r="E365" s="1">
        <v>42950</v>
      </c>
      <c r="F365">
        <v>0</v>
      </c>
      <c r="G365" s="1">
        <v>42968</v>
      </c>
      <c r="H365" s="1">
        <v>42970</v>
      </c>
      <c r="I365" t="s">
        <v>15</v>
      </c>
      <c r="J365">
        <v>312</v>
      </c>
      <c r="K365">
        <v>49.31</v>
      </c>
      <c r="L365">
        <v>262.69</v>
      </c>
      <c r="M365">
        <v>-2</v>
      </c>
      <c r="N365" t="s">
        <v>20</v>
      </c>
    </row>
    <row r="366" spans="1:14" x14ac:dyDescent="0.25">
      <c r="A366" t="s">
        <v>49</v>
      </c>
      <c r="B366">
        <v>1547</v>
      </c>
      <c r="C366" s="1">
        <v>42968</v>
      </c>
      <c r="D366" t="s">
        <v>243</v>
      </c>
      <c r="E366" s="1">
        <v>42950</v>
      </c>
      <c r="F366">
        <v>0</v>
      </c>
      <c r="G366" s="1">
        <v>42968</v>
      </c>
      <c r="H366" s="1">
        <v>42970</v>
      </c>
      <c r="I366" t="s">
        <v>15</v>
      </c>
      <c r="J366">
        <v>343.9</v>
      </c>
      <c r="K366">
        <v>54.35</v>
      </c>
      <c r="L366">
        <v>289.55</v>
      </c>
      <c r="M366">
        <v>-2</v>
      </c>
      <c r="N366" t="s">
        <v>20</v>
      </c>
    </row>
    <row r="367" spans="1:14" x14ac:dyDescent="0.25">
      <c r="A367" t="s">
        <v>49</v>
      </c>
      <c r="B367">
        <v>1544</v>
      </c>
      <c r="C367" s="1">
        <v>42968</v>
      </c>
      <c r="D367" t="s">
        <v>243</v>
      </c>
      <c r="E367" s="1">
        <v>42950</v>
      </c>
      <c r="F367">
        <v>0</v>
      </c>
      <c r="G367" s="1">
        <v>42968</v>
      </c>
      <c r="H367" s="1">
        <v>42970</v>
      </c>
      <c r="I367" t="s">
        <v>15</v>
      </c>
      <c r="J367" s="2">
        <v>2604.56</v>
      </c>
      <c r="K367">
        <v>411.64</v>
      </c>
      <c r="L367" s="2">
        <v>2192.92</v>
      </c>
      <c r="M367">
        <v>-2</v>
      </c>
      <c r="N367" t="s">
        <v>20</v>
      </c>
    </row>
    <row r="368" spans="1:14" x14ac:dyDescent="0.25">
      <c r="A368" t="s">
        <v>49</v>
      </c>
      <c r="B368">
        <v>1545</v>
      </c>
      <c r="C368" s="1">
        <v>42968</v>
      </c>
      <c r="D368" t="s">
        <v>243</v>
      </c>
      <c r="E368" s="1">
        <v>42950</v>
      </c>
      <c r="F368">
        <v>0</v>
      </c>
      <c r="G368" s="1">
        <v>42968</v>
      </c>
      <c r="H368" s="1">
        <v>42970</v>
      </c>
      <c r="I368" t="s">
        <v>15</v>
      </c>
      <c r="J368">
        <v>195.2</v>
      </c>
      <c r="K368">
        <v>30.85</v>
      </c>
      <c r="L368">
        <v>164.35</v>
      </c>
      <c r="M368">
        <v>-2</v>
      </c>
      <c r="N368" t="s">
        <v>20</v>
      </c>
    </row>
    <row r="369" spans="1:14" x14ac:dyDescent="0.25">
      <c r="A369" t="s">
        <v>83</v>
      </c>
      <c r="B369">
        <v>2139</v>
      </c>
      <c r="C369" s="1">
        <v>43067</v>
      </c>
      <c r="D369" t="s">
        <v>244</v>
      </c>
      <c r="E369" s="1">
        <v>43039</v>
      </c>
      <c r="F369">
        <v>0</v>
      </c>
      <c r="G369" s="1">
        <v>43067</v>
      </c>
      <c r="H369" s="1">
        <v>43069</v>
      </c>
      <c r="I369" t="s">
        <v>15</v>
      </c>
      <c r="J369" s="2">
        <v>10119.85</v>
      </c>
      <c r="K369">
        <v>919.99</v>
      </c>
      <c r="L369" s="2">
        <v>9199.86</v>
      </c>
      <c r="M369">
        <v>-2</v>
      </c>
      <c r="N369" t="s">
        <v>81</v>
      </c>
    </row>
    <row r="370" spans="1:14" x14ac:dyDescent="0.25">
      <c r="A370" t="s">
        <v>83</v>
      </c>
      <c r="B370">
        <v>1181</v>
      </c>
      <c r="C370" s="1">
        <v>42913</v>
      </c>
      <c r="D370" t="s">
        <v>245</v>
      </c>
      <c r="E370" s="1">
        <v>42886</v>
      </c>
      <c r="F370">
        <v>0</v>
      </c>
      <c r="G370" s="1">
        <v>42914</v>
      </c>
      <c r="H370" s="1">
        <v>42916</v>
      </c>
      <c r="I370" t="s">
        <v>15</v>
      </c>
      <c r="J370" s="2">
        <v>9935.07</v>
      </c>
      <c r="K370">
        <v>903.19</v>
      </c>
      <c r="L370" s="2">
        <v>9031.8799999999992</v>
      </c>
      <c r="M370">
        <v>-2</v>
      </c>
      <c r="N370" t="s">
        <v>81</v>
      </c>
    </row>
    <row r="371" spans="1:14" x14ac:dyDescent="0.25">
      <c r="A371" t="s">
        <v>246</v>
      </c>
      <c r="B371">
        <v>2097</v>
      </c>
      <c r="C371" s="1">
        <v>43066</v>
      </c>
      <c r="D371" t="s">
        <v>247</v>
      </c>
      <c r="E371" s="1">
        <v>43039</v>
      </c>
      <c r="F371">
        <v>0</v>
      </c>
      <c r="G371" s="1">
        <v>43067</v>
      </c>
      <c r="H371" s="1">
        <v>43069</v>
      </c>
      <c r="I371" t="s">
        <v>15</v>
      </c>
      <c r="J371">
        <v>732</v>
      </c>
      <c r="K371">
        <v>132</v>
      </c>
      <c r="L371">
        <v>600</v>
      </c>
      <c r="M371">
        <v>-2</v>
      </c>
      <c r="N371" t="s">
        <v>78</v>
      </c>
    </row>
    <row r="372" spans="1:14" x14ac:dyDescent="0.25">
      <c r="A372" t="s">
        <v>246</v>
      </c>
      <c r="B372">
        <v>2102</v>
      </c>
      <c r="C372" s="1">
        <v>43066</v>
      </c>
      <c r="D372" t="s">
        <v>248</v>
      </c>
      <c r="E372" s="1">
        <v>43039</v>
      </c>
      <c r="F372">
        <v>0</v>
      </c>
      <c r="G372" s="1">
        <v>43067</v>
      </c>
      <c r="H372" s="1">
        <v>43069</v>
      </c>
      <c r="I372" t="s">
        <v>15</v>
      </c>
      <c r="J372">
        <v>854</v>
      </c>
      <c r="K372">
        <v>154</v>
      </c>
      <c r="L372">
        <v>700</v>
      </c>
      <c r="M372">
        <v>-2</v>
      </c>
      <c r="N372" t="s">
        <v>78</v>
      </c>
    </row>
    <row r="373" spans="1:14" x14ac:dyDescent="0.25">
      <c r="A373" t="s">
        <v>37</v>
      </c>
      <c r="B373">
        <v>2137</v>
      </c>
      <c r="C373" s="1">
        <v>43067</v>
      </c>
      <c r="D373" t="s">
        <v>249</v>
      </c>
      <c r="E373" s="1">
        <v>43039</v>
      </c>
      <c r="F373">
        <v>0</v>
      </c>
      <c r="G373" s="1">
        <v>43067</v>
      </c>
      <c r="H373" s="1">
        <v>43069</v>
      </c>
      <c r="I373" t="s">
        <v>15</v>
      </c>
      <c r="J373">
        <v>45.47</v>
      </c>
      <c r="K373">
        <v>4.13</v>
      </c>
      <c r="L373">
        <v>41.34</v>
      </c>
      <c r="M373">
        <v>-2</v>
      </c>
      <c r="N373" t="s">
        <v>39</v>
      </c>
    </row>
    <row r="374" spans="1:14" x14ac:dyDescent="0.25">
      <c r="A374" t="s">
        <v>37</v>
      </c>
      <c r="B374">
        <v>1186</v>
      </c>
      <c r="C374" s="1">
        <v>42914</v>
      </c>
      <c r="D374" t="s">
        <v>250</v>
      </c>
      <c r="E374" s="1">
        <v>42886</v>
      </c>
      <c r="F374">
        <v>0</v>
      </c>
      <c r="G374" s="1">
        <v>42914</v>
      </c>
      <c r="H374" s="1">
        <v>42916</v>
      </c>
      <c r="I374" t="s">
        <v>15</v>
      </c>
      <c r="J374" s="2">
        <v>10506.35</v>
      </c>
      <c r="K374">
        <v>404.09</v>
      </c>
      <c r="L374" s="2">
        <v>10102.26</v>
      </c>
      <c r="M374">
        <v>-2</v>
      </c>
      <c r="N374" t="s">
        <v>39</v>
      </c>
    </row>
    <row r="375" spans="1:14" x14ac:dyDescent="0.25">
      <c r="A375" t="s">
        <v>37</v>
      </c>
      <c r="B375">
        <v>2137</v>
      </c>
      <c r="C375" s="1">
        <v>43067</v>
      </c>
      <c r="D375" t="s">
        <v>251</v>
      </c>
      <c r="E375" s="1">
        <v>43039</v>
      </c>
      <c r="F375">
        <v>0</v>
      </c>
      <c r="G375" s="1">
        <v>43067</v>
      </c>
      <c r="H375" s="1">
        <v>43069</v>
      </c>
      <c r="I375" t="s">
        <v>15</v>
      </c>
      <c r="J375" s="2">
        <v>10903.37</v>
      </c>
      <c r="K375">
        <v>419.36</v>
      </c>
      <c r="L375" s="2">
        <v>10484.01</v>
      </c>
      <c r="M375">
        <v>-2</v>
      </c>
      <c r="N375" t="s">
        <v>39</v>
      </c>
    </row>
    <row r="376" spans="1:14" x14ac:dyDescent="0.25">
      <c r="A376" t="s">
        <v>252</v>
      </c>
      <c r="B376">
        <v>1136</v>
      </c>
      <c r="C376" s="1">
        <v>42913</v>
      </c>
      <c r="D376" t="s">
        <v>253</v>
      </c>
      <c r="E376" s="1">
        <v>42886</v>
      </c>
      <c r="F376">
        <v>0</v>
      </c>
      <c r="G376" s="1">
        <v>42914</v>
      </c>
      <c r="H376" s="1">
        <v>42916</v>
      </c>
      <c r="I376" t="s">
        <v>15</v>
      </c>
      <c r="J376">
        <v>78.260000000000005</v>
      </c>
      <c r="K376">
        <v>14.11</v>
      </c>
      <c r="L376">
        <v>64.150000000000006</v>
      </c>
      <c r="M376">
        <v>-2</v>
      </c>
      <c r="N376" t="s">
        <v>136</v>
      </c>
    </row>
    <row r="377" spans="1:14" x14ac:dyDescent="0.25">
      <c r="A377" t="s">
        <v>40</v>
      </c>
      <c r="B377">
        <v>1627</v>
      </c>
      <c r="C377" s="1">
        <v>42993</v>
      </c>
      <c r="D377" t="str">
        <f>"600004495292"</f>
        <v>600004495292</v>
      </c>
      <c r="E377" s="1">
        <v>42968</v>
      </c>
      <c r="F377">
        <v>0</v>
      </c>
      <c r="G377" s="1">
        <v>42993</v>
      </c>
      <c r="H377" s="1">
        <v>42996</v>
      </c>
      <c r="I377" t="s">
        <v>15</v>
      </c>
      <c r="J377">
        <v>18.190000000000001</v>
      </c>
      <c r="K377">
        <v>0.62</v>
      </c>
      <c r="L377">
        <v>17.57</v>
      </c>
      <c r="M377">
        <v>-3</v>
      </c>
      <c r="N377" t="s">
        <v>41</v>
      </c>
    </row>
    <row r="378" spans="1:14" x14ac:dyDescent="0.25">
      <c r="A378" t="s">
        <v>40</v>
      </c>
      <c r="B378">
        <v>1613</v>
      </c>
      <c r="C378" s="1">
        <v>42993</v>
      </c>
      <c r="D378" t="str">
        <f>"600004495287"</f>
        <v>600004495287</v>
      </c>
      <c r="E378" s="1">
        <v>42968</v>
      </c>
      <c r="F378">
        <v>0</v>
      </c>
      <c r="G378" s="1">
        <v>42993</v>
      </c>
      <c r="H378" s="1">
        <v>42996</v>
      </c>
      <c r="I378" t="s">
        <v>15</v>
      </c>
      <c r="J378">
        <v>93.26</v>
      </c>
      <c r="K378">
        <v>8.23</v>
      </c>
      <c r="L378">
        <v>85.03</v>
      </c>
      <c r="M378">
        <v>-3</v>
      </c>
      <c r="N378" t="s">
        <v>41</v>
      </c>
    </row>
    <row r="379" spans="1:14" x14ac:dyDescent="0.25">
      <c r="A379" t="s">
        <v>40</v>
      </c>
      <c r="B379">
        <v>1605</v>
      </c>
      <c r="C379" s="1">
        <v>42993</v>
      </c>
      <c r="D379" t="str">
        <f>"600004495303"</f>
        <v>600004495303</v>
      </c>
      <c r="E379" s="1">
        <v>42968</v>
      </c>
      <c r="F379">
        <v>0</v>
      </c>
      <c r="G379" s="1">
        <v>42993</v>
      </c>
      <c r="H379" s="1">
        <v>42996</v>
      </c>
      <c r="I379" t="s">
        <v>15</v>
      </c>
      <c r="J379">
        <v>76.98</v>
      </c>
      <c r="K379">
        <v>6.74</v>
      </c>
      <c r="L379">
        <v>70.239999999999995</v>
      </c>
      <c r="M379">
        <v>-3</v>
      </c>
      <c r="N379" t="s">
        <v>41</v>
      </c>
    </row>
    <row r="380" spans="1:14" x14ac:dyDescent="0.25">
      <c r="A380" t="s">
        <v>40</v>
      </c>
      <c r="B380">
        <v>1608</v>
      </c>
      <c r="C380" s="1">
        <v>42993</v>
      </c>
      <c r="D380" t="str">
        <f>"600004495300"</f>
        <v>600004495300</v>
      </c>
      <c r="E380" s="1">
        <v>42968</v>
      </c>
      <c r="F380">
        <v>0</v>
      </c>
      <c r="G380" s="1">
        <v>42993</v>
      </c>
      <c r="H380" s="1">
        <v>42996</v>
      </c>
      <c r="I380" t="s">
        <v>15</v>
      </c>
      <c r="J380">
        <v>45.12</v>
      </c>
      <c r="K380">
        <v>3.61</v>
      </c>
      <c r="L380">
        <v>41.51</v>
      </c>
      <c r="M380">
        <v>-3</v>
      </c>
      <c r="N380" t="s">
        <v>41</v>
      </c>
    </row>
    <row r="381" spans="1:14" x14ac:dyDescent="0.25">
      <c r="A381" t="s">
        <v>40</v>
      </c>
      <c r="B381">
        <v>1604</v>
      </c>
      <c r="C381" s="1">
        <v>42993</v>
      </c>
      <c r="D381" t="str">
        <f>"600004495309"</f>
        <v>600004495309</v>
      </c>
      <c r="E381" s="1">
        <v>42968</v>
      </c>
      <c r="F381">
        <v>0</v>
      </c>
      <c r="G381" s="1">
        <v>42993</v>
      </c>
      <c r="H381" s="1">
        <v>42996</v>
      </c>
      <c r="I381" t="s">
        <v>15</v>
      </c>
      <c r="J381">
        <v>16.57</v>
      </c>
      <c r="K381">
        <v>0.56000000000000005</v>
      </c>
      <c r="L381">
        <v>16.010000000000002</v>
      </c>
      <c r="M381">
        <v>-3</v>
      </c>
      <c r="N381" t="s">
        <v>41</v>
      </c>
    </row>
    <row r="382" spans="1:14" x14ac:dyDescent="0.25">
      <c r="A382" t="s">
        <v>40</v>
      </c>
      <c r="B382">
        <v>1616</v>
      </c>
      <c r="C382" s="1">
        <v>42993</v>
      </c>
      <c r="D382" t="str">
        <f>"600004495307"</f>
        <v>600004495307</v>
      </c>
      <c r="E382" s="1">
        <v>42968</v>
      </c>
      <c r="F382">
        <v>0</v>
      </c>
      <c r="G382" s="1">
        <v>42993</v>
      </c>
      <c r="H382" s="1">
        <v>42996</v>
      </c>
      <c r="I382" t="s">
        <v>15</v>
      </c>
      <c r="J382">
        <v>13.48</v>
      </c>
      <c r="K382">
        <v>0.97</v>
      </c>
      <c r="L382">
        <v>12.51</v>
      </c>
      <c r="M382">
        <v>-3</v>
      </c>
      <c r="N382" t="s">
        <v>41</v>
      </c>
    </row>
    <row r="383" spans="1:14" x14ac:dyDescent="0.25">
      <c r="A383" t="s">
        <v>40</v>
      </c>
      <c r="B383">
        <v>1602</v>
      </c>
      <c r="C383" s="1">
        <v>42993</v>
      </c>
      <c r="D383" t="str">
        <f>"600004495286"</f>
        <v>600004495286</v>
      </c>
      <c r="E383" s="1">
        <v>42968</v>
      </c>
      <c r="F383">
        <v>0</v>
      </c>
      <c r="G383" s="1">
        <v>42993</v>
      </c>
      <c r="H383" s="1">
        <v>42996</v>
      </c>
      <c r="I383" t="s">
        <v>15</v>
      </c>
      <c r="J383">
        <v>33.1</v>
      </c>
      <c r="K383">
        <v>3.89</v>
      </c>
      <c r="L383">
        <v>29.21</v>
      </c>
      <c r="M383">
        <v>-3</v>
      </c>
      <c r="N383" t="s">
        <v>41</v>
      </c>
    </row>
    <row r="384" spans="1:14" x14ac:dyDescent="0.25">
      <c r="A384" t="s">
        <v>40</v>
      </c>
      <c r="B384">
        <v>1617</v>
      </c>
      <c r="C384" s="1">
        <v>42993</v>
      </c>
      <c r="D384" t="str">
        <f>"600004495304"</f>
        <v>600004495304</v>
      </c>
      <c r="E384" s="1">
        <v>42968</v>
      </c>
      <c r="F384">
        <v>0</v>
      </c>
      <c r="G384" s="1">
        <v>42993</v>
      </c>
      <c r="H384" s="1">
        <v>42996</v>
      </c>
      <c r="I384" t="s">
        <v>15</v>
      </c>
      <c r="J384">
        <v>0.51</v>
      </c>
      <c r="K384">
        <v>0.51</v>
      </c>
      <c r="L384">
        <v>0</v>
      </c>
      <c r="M384">
        <v>-3</v>
      </c>
      <c r="N384" t="s">
        <v>41</v>
      </c>
    </row>
    <row r="385" spans="1:14" x14ac:dyDescent="0.25">
      <c r="A385" t="s">
        <v>40</v>
      </c>
      <c r="B385">
        <v>1621</v>
      </c>
      <c r="C385" s="1">
        <v>42993</v>
      </c>
      <c r="D385" t="str">
        <f>"600004495294"</f>
        <v>600004495294</v>
      </c>
      <c r="E385" s="1">
        <v>42968</v>
      </c>
      <c r="F385">
        <v>0</v>
      </c>
      <c r="G385" s="1">
        <v>42993</v>
      </c>
      <c r="H385" s="1">
        <v>42996</v>
      </c>
      <c r="I385" t="s">
        <v>15</v>
      </c>
      <c r="J385">
        <v>10.77</v>
      </c>
      <c r="K385">
        <v>0.63</v>
      </c>
      <c r="L385">
        <v>10.14</v>
      </c>
      <c r="M385">
        <v>-3</v>
      </c>
      <c r="N385" t="s">
        <v>41</v>
      </c>
    </row>
    <row r="386" spans="1:14" x14ac:dyDescent="0.25">
      <c r="A386" t="s">
        <v>40</v>
      </c>
      <c r="B386">
        <v>1615</v>
      </c>
      <c r="C386" s="1">
        <v>42993</v>
      </c>
      <c r="D386" t="str">
        <f>"600004495288"</f>
        <v>600004495288</v>
      </c>
      <c r="E386" s="1">
        <v>42968</v>
      </c>
      <c r="F386">
        <v>0</v>
      </c>
      <c r="G386" s="1">
        <v>42993</v>
      </c>
      <c r="H386" s="1">
        <v>42996</v>
      </c>
      <c r="I386" t="s">
        <v>15</v>
      </c>
      <c r="J386">
        <v>91.65</v>
      </c>
      <c r="K386">
        <v>8.08</v>
      </c>
      <c r="L386">
        <v>83.57</v>
      </c>
      <c r="M386">
        <v>-3</v>
      </c>
      <c r="N386" t="s">
        <v>41</v>
      </c>
    </row>
    <row r="387" spans="1:14" x14ac:dyDescent="0.25">
      <c r="A387" t="s">
        <v>40</v>
      </c>
      <c r="B387">
        <v>1610</v>
      </c>
      <c r="C387" s="1">
        <v>42993</v>
      </c>
      <c r="D387" t="str">
        <f>"600004495306"</f>
        <v>600004495306</v>
      </c>
      <c r="E387" s="1">
        <v>42968</v>
      </c>
      <c r="F387">
        <v>0</v>
      </c>
      <c r="G387" s="1">
        <v>42993</v>
      </c>
      <c r="H387" s="1">
        <v>42996</v>
      </c>
      <c r="I387" t="s">
        <v>15</v>
      </c>
      <c r="J387">
        <v>0.61</v>
      </c>
      <c r="K387">
        <v>0.61</v>
      </c>
      <c r="L387">
        <v>0</v>
      </c>
      <c r="M387">
        <v>-3</v>
      </c>
      <c r="N387" t="s">
        <v>41</v>
      </c>
    </row>
    <row r="388" spans="1:14" x14ac:dyDescent="0.25">
      <c r="A388" t="s">
        <v>40</v>
      </c>
      <c r="B388">
        <v>1603</v>
      </c>
      <c r="C388" s="1">
        <v>42993</v>
      </c>
      <c r="D388" t="str">
        <f>"600004495299"</f>
        <v>600004495299</v>
      </c>
      <c r="E388" s="1">
        <v>42968</v>
      </c>
      <c r="F388">
        <v>0</v>
      </c>
      <c r="G388" s="1">
        <v>42993</v>
      </c>
      <c r="H388" s="1">
        <v>42996</v>
      </c>
      <c r="I388" t="s">
        <v>15</v>
      </c>
      <c r="J388">
        <v>28.22</v>
      </c>
      <c r="K388">
        <v>2.2200000000000002</v>
      </c>
      <c r="L388">
        <v>26</v>
      </c>
      <c r="M388">
        <v>-3</v>
      </c>
      <c r="N388" t="s">
        <v>41</v>
      </c>
    </row>
    <row r="389" spans="1:14" x14ac:dyDescent="0.25">
      <c r="A389" t="s">
        <v>40</v>
      </c>
      <c r="B389">
        <v>1623</v>
      </c>
      <c r="C389" s="1">
        <v>42993</v>
      </c>
      <c r="D389" t="str">
        <f>"600004495310"</f>
        <v>600004495310</v>
      </c>
      <c r="E389" s="1">
        <v>42968</v>
      </c>
      <c r="F389">
        <v>0</v>
      </c>
      <c r="G389" s="1">
        <v>42993</v>
      </c>
      <c r="H389" s="1">
        <v>42996</v>
      </c>
      <c r="I389" t="s">
        <v>15</v>
      </c>
      <c r="J389">
        <v>28.91</v>
      </c>
      <c r="K389">
        <v>2.2799999999999998</v>
      </c>
      <c r="L389">
        <v>26.63</v>
      </c>
      <c r="M389">
        <v>-3</v>
      </c>
      <c r="N389" t="s">
        <v>41</v>
      </c>
    </row>
    <row r="390" spans="1:14" x14ac:dyDescent="0.25">
      <c r="A390" t="s">
        <v>40</v>
      </c>
      <c r="B390">
        <v>1601</v>
      </c>
      <c r="C390" s="1">
        <v>42993</v>
      </c>
      <c r="D390" t="str">
        <f>"600004495289"</f>
        <v>600004495289</v>
      </c>
      <c r="E390" s="1">
        <v>42968</v>
      </c>
      <c r="F390">
        <v>0</v>
      </c>
      <c r="G390" s="1">
        <v>42993</v>
      </c>
      <c r="H390" s="1">
        <v>42996</v>
      </c>
      <c r="I390" t="s">
        <v>15</v>
      </c>
      <c r="J390">
        <v>84.64</v>
      </c>
      <c r="K390">
        <v>7.48</v>
      </c>
      <c r="L390">
        <v>77.16</v>
      </c>
      <c r="M390">
        <v>-3</v>
      </c>
      <c r="N390" t="s">
        <v>41</v>
      </c>
    </row>
    <row r="391" spans="1:14" x14ac:dyDescent="0.25">
      <c r="A391" t="s">
        <v>40</v>
      </c>
      <c r="B391">
        <v>1612</v>
      </c>
      <c r="C391" s="1">
        <v>42993</v>
      </c>
      <c r="D391" t="str">
        <f>"600004495297"</f>
        <v>600004495297</v>
      </c>
      <c r="E391" s="1">
        <v>42968</v>
      </c>
      <c r="F391">
        <v>0</v>
      </c>
      <c r="G391" s="1">
        <v>42993</v>
      </c>
      <c r="H391" s="1">
        <v>42996</v>
      </c>
      <c r="I391" t="s">
        <v>15</v>
      </c>
      <c r="J391">
        <v>96.49</v>
      </c>
      <c r="K391">
        <v>12.39</v>
      </c>
      <c r="L391">
        <v>84.1</v>
      </c>
      <c r="M391">
        <v>-3</v>
      </c>
      <c r="N391" t="s">
        <v>41</v>
      </c>
    </row>
    <row r="392" spans="1:14" x14ac:dyDescent="0.25">
      <c r="A392" t="s">
        <v>40</v>
      </c>
      <c r="B392">
        <v>1629</v>
      </c>
      <c r="C392" s="1">
        <v>42993</v>
      </c>
      <c r="D392" t="str">
        <f>"600004495311"</f>
        <v>600004495311</v>
      </c>
      <c r="E392" s="1">
        <v>42968</v>
      </c>
      <c r="F392">
        <v>0</v>
      </c>
      <c r="G392" s="1">
        <v>42993</v>
      </c>
      <c r="H392" s="1">
        <v>42996</v>
      </c>
      <c r="I392" t="s">
        <v>15</v>
      </c>
      <c r="J392">
        <v>0.4</v>
      </c>
      <c r="K392">
        <v>0.4</v>
      </c>
      <c r="L392">
        <v>0</v>
      </c>
      <c r="M392">
        <v>-3</v>
      </c>
      <c r="N392" t="s">
        <v>41</v>
      </c>
    </row>
    <row r="393" spans="1:14" x14ac:dyDescent="0.25">
      <c r="A393" t="s">
        <v>40</v>
      </c>
      <c r="B393">
        <v>1609</v>
      </c>
      <c r="C393" s="1">
        <v>42993</v>
      </c>
      <c r="D393" t="str">
        <f>"600004495296"</f>
        <v>600004495296</v>
      </c>
      <c r="E393" s="1">
        <v>42968</v>
      </c>
      <c r="F393">
        <v>0</v>
      </c>
      <c r="G393" s="1">
        <v>42993</v>
      </c>
      <c r="H393" s="1">
        <v>42996</v>
      </c>
      <c r="I393" t="s">
        <v>15</v>
      </c>
      <c r="J393">
        <v>232.16</v>
      </c>
      <c r="K393">
        <v>20.85</v>
      </c>
      <c r="L393">
        <v>211.31</v>
      </c>
      <c r="M393">
        <v>-3</v>
      </c>
      <c r="N393" t="s">
        <v>41</v>
      </c>
    </row>
    <row r="394" spans="1:14" x14ac:dyDescent="0.25">
      <c r="A394" t="s">
        <v>40</v>
      </c>
      <c r="B394">
        <v>1606</v>
      </c>
      <c r="C394" s="1">
        <v>42993</v>
      </c>
      <c r="D394" t="str">
        <f>"600004495302"</f>
        <v>600004495302</v>
      </c>
      <c r="E394" s="1">
        <v>42968</v>
      </c>
      <c r="F394">
        <v>0</v>
      </c>
      <c r="G394" s="1">
        <v>42993</v>
      </c>
      <c r="H394" s="1">
        <v>42996</v>
      </c>
      <c r="I394" t="s">
        <v>15</v>
      </c>
      <c r="J394">
        <v>45.12</v>
      </c>
      <c r="K394">
        <v>3.61</v>
      </c>
      <c r="L394">
        <v>41.51</v>
      </c>
      <c r="M394">
        <v>-3</v>
      </c>
      <c r="N394" t="s">
        <v>41</v>
      </c>
    </row>
    <row r="395" spans="1:14" x14ac:dyDescent="0.25">
      <c r="A395" t="s">
        <v>40</v>
      </c>
      <c r="B395">
        <v>1618</v>
      </c>
      <c r="C395" s="1">
        <v>42993</v>
      </c>
      <c r="D395" t="str">
        <f>"600004495305"</f>
        <v>600004495305</v>
      </c>
      <c r="E395" s="1">
        <v>42968</v>
      </c>
      <c r="F395">
        <v>0</v>
      </c>
      <c r="G395" s="1">
        <v>42993</v>
      </c>
      <c r="H395" s="1">
        <v>42996</v>
      </c>
      <c r="I395" t="s">
        <v>15</v>
      </c>
      <c r="J395">
        <v>15.95</v>
      </c>
      <c r="K395">
        <v>0.56000000000000005</v>
      </c>
      <c r="L395">
        <v>15.39</v>
      </c>
      <c r="M395">
        <v>-3</v>
      </c>
      <c r="N395" t="s">
        <v>41</v>
      </c>
    </row>
    <row r="396" spans="1:14" x14ac:dyDescent="0.25">
      <c r="A396" t="s">
        <v>40</v>
      </c>
      <c r="B396">
        <v>1611</v>
      </c>
      <c r="C396" s="1">
        <v>42993</v>
      </c>
      <c r="D396" t="str">
        <f>"600004495295"</f>
        <v>600004495295</v>
      </c>
      <c r="E396" s="1">
        <v>42968</v>
      </c>
      <c r="F396">
        <v>0</v>
      </c>
      <c r="G396" s="1">
        <v>42993</v>
      </c>
      <c r="H396" s="1">
        <v>42996</v>
      </c>
      <c r="I396" t="s">
        <v>15</v>
      </c>
      <c r="J396">
        <v>45.05</v>
      </c>
      <c r="K396">
        <v>3.54</v>
      </c>
      <c r="L396">
        <v>41.51</v>
      </c>
      <c r="M396">
        <v>-3</v>
      </c>
      <c r="N396" t="s">
        <v>41</v>
      </c>
    </row>
    <row r="397" spans="1:14" x14ac:dyDescent="0.25">
      <c r="A397" t="s">
        <v>40</v>
      </c>
      <c r="B397">
        <v>1619</v>
      </c>
      <c r="C397" s="1">
        <v>42993</v>
      </c>
      <c r="D397" t="str">
        <f>"600004495308"</f>
        <v>600004495308</v>
      </c>
      <c r="E397" s="1">
        <v>42968</v>
      </c>
      <c r="F397">
        <v>0</v>
      </c>
      <c r="G397" s="1">
        <v>42993</v>
      </c>
      <c r="H397" s="1">
        <v>42996</v>
      </c>
      <c r="I397" t="s">
        <v>15</v>
      </c>
      <c r="J397">
        <v>13.39</v>
      </c>
      <c r="K397">
        <v>0.56000000000000005</v>
      </c>
      <c r="L397">
        <v>12.83</v>
      </c>
      <c r="M397">
        <v>-3</v>
      </c>
      <c r="N397" t="s">
        <v>41</v>
      </c>
    </row>
    <row r="398" spans="1:14" x14ac:dyDescent="0.25">
      <c r="A398" t="s">
        <v>40</v>
      </c>
      <c r="B398">
        <v>1628</v>
      </c>
      <c r="C398" s="1">
        <v>42993</v>
      </c>
      <c r="D398" t="str">
        <f>"600004495298"</f>
        <v>600004495298</v>
      </c>
      <c r="E398" s="1">
        <v>42968</v>
      </c>
      <c r="F398">
        <v>0</v>
      </c>
      <c r="G398" s="1">
        <v>42993</v>
      </c>
      <c r="H398" s="1">
        <v>42996</v>
      </c>
      <c r="I398" t="s">
        <v>15</v>
      </c>
      <c r="J398">
        <v>2.08</v>
      </c>
      <c r="K398">
        <v>2.08</v>
      </c>
      <c r="L398">
        <v>0</v>
      </c>
      <c r="M398">
        <v>-3</v>
      </c>
      <c r="N398" t="s">
        <v>41</v>
      </c>
    </row>
    <row r="399" spans="1:14" x14ac:dyDescent="0.25">
      <c r="A399" t="s">
        <v>40</v>
      </c>
      <c r="B399">
        <v>1614</v>
      </c>
      <c r="C399" s="1">
        <v>42993</v>
      </c>
      <c r="D399" t="str">
        <f>"600004495301"</f>
        <v>600004495301</v>
      </c>
      <c r="E399" s="1">
        <v>42968</v>
      </c>
      <c r="F399">
        <v>0</v>
      </c>
      <c r="G399" s="1">
        <v>42993</v>
      </c>
      <c r="H399" s="1">
        <v>42996</v>
      </c>
      <c r="I399" t="s">
        <v>15</v>
      </c>
      <c r="J399">
        <v>26.83</v>
      </c>
      <c r="K399">
        <v>2.14</v>
      </c>
      <c r="L399">
        <v>24.69</v>
      </c>
      <c r="M399">
        <v>-3</v>
      </c>
      <c r="N399" t="s">
        <v>41</v>
      </c>
    </row>
    <row r="400" spans="1:14" x14ac:dyDescent="0.25">
      <c r="A400" t="s">
        <v>40</v>
      </c>
      <c r="B400">
        <v>1622</v>
      </c>
      <c r="C400" s="1">
        <v>42993</v>
      </c>
      <c r="D400" t="str">
        <f>"600004495312"</f>
        <v>600004495312</v>
      </c>
      <c r="E400" s="1">
        <v>42968</v>
      </c>
      <c r="F400">
        <v>0</v>
      </c>
      <c r="G400" s="1">
        <v>42993</v>
      </c>
      <c r="H400" s="1">
        <v>42996</v>
      </c>
      <c r="I400" t="s">
        <v>15</v>
      </c>
      <c r="J400">
        <v>4.03</v>
      </c>
      <c r="K400">
        <v>4.03</v>
      </c>
      <c r="L400">
        <v>0</v>
      </c>
      <c r="M400">
        <v>-3</v>
      </c>
      <c r="N400" t="s">
        <v>41</v>
      </c>
    </row>
    <row r="401" spans="1:14" x14ac:dyDescent="0.25">
      <c r="A401" t="s">
        <v>40</v>
      </c>
      <c r="B401">
        <v>1620</v>
      </c>
      <c r="C401" s="1">
        <v>42993</v>
      </c>
      <c r="D401" t="str">
        <f>"600004495293"</f>
        <v>600004495293</v>
      </c>
      <c r="E401" s="1">
        <v>42968</v>
      </c>
      <c r="F401">
        <v>0</v>
      </c>
      <c r="G401" s="1">
        <v>42993</v>
      </c>
      <c r="H401" s="1">
        <v>42996</v>
      </c>
      <c r="I401" t="s">
        <v>15</v>
      </c>
      <c r="J401">
        <v>0.35</v>
      </c>
      <c r="K401">
        <v>0.35</v>
      </c>
      <c r="L401">
        <v>0</v>
      </c>
      <c r="M401">
        <v>-3</v>
      </c>
      <c r="N401" t="s">
        <v>41</v>
      </c>
    </row>
    <row r="402" spans="1:14" x14ac:dyDescent="0.25">
      <c r="A402" t="s">
        <v>40</v>
      </c>
      <c r="B402">
        <v>1607</v>
      </c>
      <c r="C402" s="1">
        <v>42993</v>
      </c>
      <c r="D402" t="str">
        <f>"600004495291"</f>
        <v>600004495291</v>
      </c>
      <c r="E402" s="1">
        <v>42968</v>
      </c>
      <c r="F402">
        <v>0</v>
      </c>
      <c r="G402" s="1">
        <v>42993</v>
      </c>
      <c r="H402" s="1">
        <v>42996</v>
      </c>
      <c r="I402" t="s">
        <v>15</v>
      </c>
      <c r="J402">
        <v>94.88</v>
      </c>
      <c r="K402">
        <v>8.3699999999999992</v>
      </c>
      <c r="L402">
        <v>86.51</v>
      </c>
      <c r="M402">
        <v>-3</v>
      </c>
      <c r="N402" t="s">
        <v>41</v>
      </c>
    </row>
    <row r="403" spans="1:14" x14ac:dyDescent="0.25">
      <c r="A403" t="s">
        <v>40</v>
      </c>
      <c r="B403">
        <v>1630</v>
      </c>
      <c r="C403" s="1">
        <v>42993</v>
      </c>
      <c r="D403" t="str">
        <f>"600004495290"</f>
        <v>600004495290</v>
      </c>
      <c r="E403" s="1">
        <v>42968</v>
      </c>
      <c r="F403">
        <v>0</v>
      </c>
      <c r="G403" s="1">
        <v>42993</v>
      </c>
      <c r="H403" s="1">
        <v>42996</v>
      </c>
      <c r="I403" t="s">
        <v>15</v>
      </c>
      <c r="J403">
        <v>39.35</v>
      </c>
      <c r="K403">
        <v>3.33</v>
      </c>
      <c r="L403">
        <v>36.020000000000003</v>
      </c>
      <c r="M403">
        <v>-3</v>
      </c>
      <c r="N403" t="s">
        <v>41</v>
      </c>
    </row>
    <row r="404" spans="1:14" x14ac:dyDescent="0.25">
      <c r="A404" t="s">
        <v>17</v>
      </c>
      <c r="B404">
        <v>1991</v>
      </c>
      <c r="C404" s="1">
        <v>43049</v>
      </c>
      <c r="D404" t="str">
        <f>"13139"</f>
        <v>13139</v>
      </c>
      <c r="E404" s="1">
        <v>43021</v>
      </c>
      <c r="F404">
        <v>0</v>
      </c>
      <c r="G404" s="1">
        <v>43049</v>
      </c>
      <c r="H404" s="1">
        <v>43052</v>
      </c>
      <c r="I404" t="s">
        <v>15</v>
      </c>
      <c r="J404">
        <v>195.2</v>
      </c>
      <c r="K404">
        <v>35.200000000000003</v>
      </c>
      <c r="L404">
        <v>160</v>
      </c>
      <c r="M404">
        <v>-3</v>
      </c>
      <c r="N404" t="s">
        <v>18</v>
      </c>
    </row>
    <row r="405" spans="1:14" x14ac:dyDescent="0.25">
      <c r="A405" t="s">
        <v>151</v>
      </c>
      <c r="B405">
        <v>1390</v>
      </c>
      <c r="C405" s="1">
        <v>42942</v>
      </c>
      <c r="D405" t="s">
        <v>254</v>
      </c>
      <c r="E405" s="1">
        <v>42915</v>
      </c>
      <c r="F405">
        <v>0</v>
      </c>
      <c r="G405" s="1">
        <v>42943</v>
      </c>
      <c r="H405" s="1">
        <v>42946</v>
      </c>
      <c r="I405" t="s">
        <v>15</v>
      </c>
      <c r="J405" s="2">
        <v>1253.7</v>
      </c>
      <c r="K405">
        <v>59.7</v>
      </c>
      <c r="L405" s="2">
        <v>1194</v>
      </c>
      <c r="M405">
        <v>-3</v>
      </c>
      <c r="N405" t="s">
        <v>153</v>
      </c>
    </row>
    <row r="406" spans="1:14" x14ac:dyDescent="0.25">
      <c r="A406" t="s">
        <v>151</v>
      </c>
      <c r="B406">
        <v>1389</v>
      </c>
      <c r="C406" s="1">
        <v>42942</v>
      </c>
      <c r="D406" t="s">
        <v>255</v>
      </c>
      <c r="E406" s="1">
        <v>42915</v>
      </c>
      <c r="F406">
        <v>0</v>
      </c>
      <c r="G406" s="1">
        <v>42943</v>
      </c>
      <c r="H406" s="1">
        <v>42946</v>
      </c>
      <c r="I406" t="s">
        <v>15</v>
      </c>
      <c r="J406" s="2">
        <v>1044.75</v>
      </c>
      <c r="K406">
        <v>49.75</v>
      </c>
      <c r="L406">
        <v>995</v>
      </c>
      <c r="M406">
        <v>-3</v>
      </c>
      <c r="N406" t="s">
        <v>153</v>
      </c>
    </row>
    <row r="407" spans="1:14" x14ac:dyDescent="0.25">
      <c r="A407" t="s">
        <v>256</v>
      </c>
      <c r="B407">
        <v>1873</v>
      </c>
      <c r="C407" s="1">
        <v>43032</v>
      </c>
      <c r="D407" t="s">
        <v>257</v>
      </c>
      <c r="E407" s="1">
        <v>43007</v>
      </c>
      <c r="F407">
        <v>0</v>
      </c>
      <c r="G407" s="1">
        <v>43034</v>
      </c>
      <c r="H407" s="1">
        <v>43037</v>
      </c>
      <c r="I407" t="s">
        <v>15</v>
      </c>
      <c r="J407" s="2">
        <v>33577.279999999999</v>
      </c>
      <c r="K407" s="2">
        <v>6054.92</v>
      </c>
      <c r="L407" s="2">
        <v>27522.36</v>
      </c>
      <c r="M407">
        <v>-3</v>
      </c>
      <c r="N407" t="s">
        <v>258</v>
      </c>
    </row>
    <row r="408" spans="1:14" x14ac:dyDescent="0.25">
      <c r="A408" t="s">
        <v>256</v>
      </c>
      <c r="B408">
        <v>1378</v>
      </c>
      <c r="C408" s="1">
        <v>42942</v>
      </c>
      <c r="D408" t="s">
        <v>259</v>
      </c>
      <c r="E408" s="1">
        <v>42916</v>
      </c>
      <c r="F408">
        <v>0</v>
      </c>
      <c r="G408" s="1">
        <v>42943</v>
      </c>
      <c r="H408" s="1">
        <v>42946</v>
      </c>
      <c r="I408" t="s">
        <v>15</v>
      </c>
      <c r="J408" s="2">
        <v>14390.27</v>
      </c>
      <c r="K408" s="2">
        <v>2594.9699999999998</v>
      </c>
      <c r="L408" s="2">
        <v>11795.3</v>
      </c>
      <c r="M408">
        <v>-3</v>
      </c>
      <c r="N408" t="s">
        <v>258</v>
      </c>
    </row>
    <row r="409" spans="1:14" x14ac:dyDescent="0.25">
      <c r="A409" t="s">
        <v>256</v>
      </c>
      <c r="B409">
        <v>1377</v>
      </c>
      <c r="C409" s="1">
        <v>42942</v>
      </c>
      <c r="D409" t="s">
        <v>259</v>
      </c>
      <c r="E409" s="1">
        <v>42916</v>
      </c>
      <c r="F409">
        <v>0</v>
      </c>
      <c r="G409" s="1">
        <v>42943</v>
      </c>
      <c r="H409" s="1">
        <v>42946</v>
      </c>
      <c r="I409" t="s">
        <v>15</v>
      </c>
      <c r="J409" s="2">
        <v>33577.279999999999</v>
      </c>
      <c r="K409" s="2">
        <v>6054.92</v>
      </c>
      <c r="L409" s="2">
        <v>27522.36</v>
      </c>
      <c r="M409">
        <v>-3</v>
      </c>
      <c r="N409" t="s">
        <v>258</v>
      </c>
    </row>
    <row r="410" spans="1:14" x14ac:dyDescent="0.25">
      <c r="A410" t="s">
        <v>256</v>
      </c>
      <c r="B410">
        <v>1874</v>
      </c>
      <c r="C410" s="1">
        <v>43032</v>
      </c>
      <c r="D410" t="s">
        <v>257</v>
      </c>
      <c r="E410" s="1">
        <v>43007</v>
      </c>
      <c r="F410">
        <v>0</v>
      </c>
      <c r="G410" s="1">
        <v>43034</v>
      </c>
      <c r="H410" s="1">
        <v>43037</v>
      </c>
      <c r="I410" t="s">
        <v>15</v>
      </c>
      <c r="J410" s="2">
        <v>14390.27</v>
      </c>
      <c r="K410" s="2">
        <v>2594.9699999999998</v>
      </c>
      <c r="L410" s="2">
        <v>11795.3</v>
      </c>
      <c r="M410">
        <v>-3</v>
      </c>
      <c r="N410" t="s">
        <v>258</v>
      </c>
    </row>
    <row r="411" spans="1:14" x14ac:dyDescent="0.25">
      <c r="A411" t="s">
        <v>260</v>
      </c>
      <c r="B411">
        <v>558</v>
      </c>
      <c r="C411" s="1">
        <v>42821</v>
      </c>
      <c r="D411" s="3">
        <v>43162</v>
      </c>
      <c r="E411" s="1">
        <v>42779</v>
      </c>
      <c r="F411">
        <v>0</v>
      </c>
      <c r="G411" s="1">
        <v>42821</v>
      </c>
      <c r="H411" s="1">
        <v>42825</v>
      </c>
      <c r="I411" t="s">
        <v>15</v>
      </c>
      <c r="J411" s="2">
        <v>8927.9599999999991</v>
      </c>
      <c r="K411" s="2">
        <v>1609.96</v>
      </c>
      <c r="L411" s="2">
        <v>7318</v>
      </c>
      <c r="M411">
        <v>-4</v>
      </c>
      <c r="N411" t="s">
        <v>136</v>
      </c>
    </row>
    <row r="412" spans="1:14" x14ac:dyDescent="0.25">
      <c r="A412" t="s">
        <v>17</v>
      </c>
      <c r="B412">
        <v>355</v>
      </c>
      <c r="C412" s="1">
        <v>42790</v>
      </c>
      <c r="D412" t="str">
        <f>"00785"</f>
        <v>00785</v>
      </c>
      <c r="E412" s="1">
        <v>42766</v>
      </c>
      <c r="F412">
        <v>0</v>
      </c>
      <c r="G412" s="1">
        <v>42790</v>
      </c>
      <c r="H412" s="1">
        <v>42794</v>
      </c>
      <c r="I412" t="s">
        <v>15</v>
      </c>
      <c r="J412">
        <v>366</v>
      </c>
      <c r="K412">
        <v>66</v>
      </c>
      <c r="L412">
        <v>300</v>
      </c>
      <c r="M412">
        <v>-4</v>
      </c>
      <c r="N412" t="s">
        <v>18</v>
      </c>
    </row>
    <row r="413" spans="1:14" x14ac:dyDescent="0.25">
      <c r="A413" t="s">
        <v>241</v>
      </c>
      <c r="B413">
        <v>556</v>
      </c>
      <c r="C413" s="1">
        <v>42821</v>
      </c>
      <c r="D413" t="s">
        <v>56</v>
      </c>
      <c r="E413" s="1">
        <v>42793</v>
      </c>
      <c r="F413">
        <v>0</v>
      </c>
      <c r="G413" s="1">
        <v>42821</v>
      </c>
      <c r="H413" s="1">
        <v>42825</v>
      </c>
      <c r="I413" t="s">
        <v>15</v>
      </c>
      <c r="J413" s="2">
        <v>1378.22</v>
      </c>
      <c r="K413">
        <v>248.53</v>
      </c>
      <c r="L413" s="2">
        <v>1129.69</v>
      </c>
      <c r="M413">
        <v>-4</v>
      </c>
      <c r="N413" t="s">
        <v>145</v>
      </c>
    </row>
    <row r="414" spans="1:14" x14ac:dyDescent="0.25">
      <c r="A414" t="s">
        <v>83</v>
      </c>
      <c r="B414">
        <v>353</v>
      </c>
      <c r="C414" s="1">
        <v>42790</v>
      </c>
      <c r="D414" t="s">
        <v>261</v>
      </c>
      <c r="E414" s="1">
        <v>42766</v>
      </c>
      <c r="F414">
        <v>0</v>
      </c>
      <c r="G414" s="1">
        <v>42790</v>
      </c>
      <c r="H414" s="1">
        <v>42794</v>
      </c>
      <c r="I414" t="s">
        <v>15</v>
      </c>
      <c r="J414" s="2">
        <v>9935.07</v>
      </c>
      <c r="K414">
        <v>903.19</v>
      </c>
      <c r="L414" s="2">
        <v>9031.8799999999992</v>
      </c>
      <c r="M414">
        <v>-4</v>
      </c>
      <c r="N414" t="s">
        <v>141</v>
      </c>
    </row>
    <row r="415" spans="1:14" x14ac:dyDescent="0.25">
      <c r="A415" t="s">
        <v>83</v>
      </c>
      <c r="B415">
        <v>524</v>
      </c>
      <c r="C415" s="1">
        <v>42816</v>
      </c>
      <c r="D415" t="s">
        <v>262</v>
      </c>
      <c r="E415" s="1">
        <v>42794</v>
      </c>
      <c r="F415">
        <v>0</v>
      </c>
      <c r="G415" s="1">
        <v>42821</v>
      </c>
      <c r="H415" s="1">
        <v>42825</v>
      </c>
      <c r="I415" t="s">
        <v>15</v>
      </c>
      <c r="J415" s="2">
        <v>9935.07</v>
      </c>
      <c r="K415">
        <v>903.19</v>
      </c>
      <c r="L415" s="2">
        <v>9031.8799999999992</v>
      </c>
      <c r="M415">
        <v>-4</v>
      </c>
      <c r="N415" t="s">
        <v>141</v>
      </c>
    </row>
    <row r="416" spans="1:14" x14ac:dyDescent="0.25">
      <c r="A416" t="s">
        <v>64</v>
      </c>
      <c r="B416">
        <v>877</v>
      </c>
      <c r="C416" s="1">
        <v>42872</v>
      </c>
      <c r="D416" t="s">
        <v>263</v>
      </c>
      <c r="E416" s="1">
        <v>42857</v>
      </c>
      <c r="F416">
        <v>0</v>
      </c>
      <c r="G416" s="1">
        <v>42873</v>
      </c>
      <c r="H416" s="1">
        <v>42877</v>
      </c>
      <c r="I416" t="s">
        <v>15</v>
      </c>
      <c r="J416">
        <v>447.37</v>
      </c>
      <c r="K416">
        <v>53.25</v>
      </c>
      <c r="L416">
        <v>394.12</v>
      </c>
      <c r="M416">
        <v>-4</v>
      </c>
      <c r="N416" t="s">
        <v>66</v>
      </c>
    </row>
    <row r="417" spans="1:14" x14ac:dyDescent="0.25">
      <c r="A417" t="s">
        <v>64</v>
      </c>
      <c r="B417">
        <v>325</v>
      </c>
      <c r="C417" s="1">
        <v>42789</v>
      </c>
      <c r="D417" t="s">
        <v>264</v>
      </c>
      <c r="E417" s="1">
        <v>42774</v>
      </c>
      <c r="F417">
        <v>0</v>
      </c>
      <c r="G417" s="1">
        <v>42790</v>
      </c>
      <c r="H417" s="1">
        <v>42794</v>
      </c>
      <c r="I417" t="s">
        <v>15</v>
      </c>
      <c r="J417">
        <v>439.67</v>
      </c>
      <c r="K417">
        <v>79.290000000000006</v>
      </c>
      <c r="L417">
        <v>360.38</v>
      </c>
      <c r="M417">
        <v>-4</v>
      </c>
      <c r="N417" t="s">
        <v>16</v>
      </c>
    </row>
    <row r="418" spans="1:14" x14ac:dyDescent="0.25">
      <c r="A418" t="s">
        <v>64</v>
      </c>
      <c r="B418">
        <v>326</v>
      </c>
      <c r="C418" s="1">
        <v>42789</v>
      </c>
      <c r="D418" t="s">
        <v>265</v>
      </c>
      <c r="E418" s="1">
        <v>42774</v>
      </c>
      <c r="F418">
        <v>0</v>
      </c>
      <c r="G418" s="1">
        <v>42790</v>
      </c>
      <c r="H418" s="1">
        <v>42794</v>
      </c>
      <c r="I418" t="s">
        <v>15</v>
      </c>
      <c r="J418">
        <v>911.47</v>
      </c>
      <c r="K418">
        <v>164.36</v>
      </c>
      <c r="L418">
        <v>747.11</v>
      </c>
      <c r="M418">
        <v>-4</v>
      </c>
      <c r="N418" t="s">
        <v>16</v>
      </c>
    </row>
    <row r="419" spans="1:14" x14ac:dyDescent="0.25">
      <c r="A419" t="s">
        <v>64</v>
      </c>
      <c r="B419">
        <v>880</v>
      </c>
      <c r="C419" s="1">
        <v>42872</v>
      </c>
      <c r="D419" t="s">
        <v>263</v>
      </c>
      <c r="E419" s="1">
        <v>42857</v>
      </c>
      <c r="F419">
        <v>0</v>
      </c>
      <c r="G419" s="1">
        <v>42873</v>
      </c>
      <c r="H419" s="1">
        <v>42877</v>
      </c>
      <c r="I419" t="s">
        <v>15</v>
      </c>
      <c r="J419">
        <v>462.46</v>
      </c>
      <c r="K419">
        <v>55.05</v>
      </c>
      <c r="L419">
        <v>407.41</v>
      </c>
      <c r="M419">
        <v>-4</v>
      </c>
      <c r="N419" t="s">
        <v>66</v>
      </c>
    </row>
    <row r="420" spans="1:14" x14ac:dyDescent="0.25">
      <c r="A420" t="s">
        <v>64</v>
      </c>
      <c r="B420">
        <v>878</v>
      </c>
      <c r="C420" s="1">
        <v>42872</v>
      </c>
      <c r="D420" t="s">
        <v>263</v>
      </c>
      <c r="E420" s="1">
        <v>42857</v>
      </c>
      <c r="F420">
        <v>0</v>
      </c>
      <c r="G420" s="1">
        <v>42873</v>
      </c>
      <c r="H420" s="1">
        <v>42877</v>
      </c>
      <c r="I420" t="s">
        <v>15</v>
      </c>
      <c r="J420">
        <v>237</v>
      </c>
      <c r="K420">
        <v>28.21</v>
      </c>
      <c r="L420">
        <v>208.79</v>
      </c>
      <c r="M420">
        <v>-4</v>
      </c>
      <c r="N420" t="s">
        <v>66</v>
      </c>
    </row>
    <row r="421" spans="1:14" x14ac:dyDescent="0.25">
      <c r="A421" t="s">
        <v>64</v>
      </c>
      <c r="B421">
        <v>322</v>
      </c>
      <c r="C421" s="1">
        <v>42789</v>
      </c>
      <c r="D421" t="s">
        <v>266</v>
      </c>
      <c r="E421" s="1">
        <v>42774</v>
      </c>
      <c r="F421">
        <v>0</v>
      </c>
      <c r="G421" s="1">
        <v>42790</v>
      </c>
      <c r="H421" s="1">
        <v>42794</v>
      </c>
      <c r="I421" t="s">
        <v>15</v>
      </c>
      <c r="J421">
        <v>2.15</v>
      </c>
      <c r="K421">
        <v>0.39</v>
      </c>
      <c r="L421">
        <v>1.76</v>
      </c>
      <c r="M421">
        <v>-4</v>
      </c>
      <c r="N421" t="s">
        <v>16</v>
      </c>
    </row>
    <row r="422" spans="1:14" x14ac:dyDescent="0.25">
      <c r="A422" t="s">
        <v>64</v>
      </c>
      <c r="B422">
        <v>330</v>
      </c>
      <c r="C422" s="1">
        <v>42789</v>
      </c>
      <c r="D422" t="s">
        <v>267</v>
      </c>
      <c r="E422" s="1">
        <v>42774</v>
      </c>
      <c r="F422">
        <v>0</v>
      </c>
      <c r="G422" s="1">
        <v>42790</v>
      </c>
      <c r="H422" s="1">
        <v>42794</v>
      </c>
      <c r="I422" t="s">
        <v>15</v>
      </c>
      <c r="J422" s="2">
        <v>1007.05</v>
      </c>
      <c r="K422">
        <v>181.6</v>
      </c>
      <c r="L422">
        <v>825.45</v>
      </c>
      <c r="M422">
        <v>-4</v>
      </c>
      <c r="N422" t="s">
        <v>16</v>
      </c>
    </row>
    <row r="423" spans="1:14" x14ac:dyDescent="0.25">
      <c r="A423" t="s">
        <v>64</v>
      </c>
      <c r="B423">
        <v>875</v>
      </c>
      <c r="C423" s="1">
        <v>42872</v>
      </c>
      <c r="D423" t="s">
        <v>268</v>
      </c>
      <c r="E423" s="1">
        <v>42857</v>
      </c>
      <c r="F423">
        <v>0</v>
      </c>
      <c r="G423" s="1">
        <v>42873</v>
      </c>
      <c r="H423" s="1">
        <v>42877</v>
      </c>
      <c r="I423" t="s">
        <v>15</v>
      </c>
      <c r="J423">
        <v>423.08</v>
      </c>
      <c r="K423">
        <v>76.290000000000006</v>
      </c>
      <c r="L423">
        <v>346.79</v>
      </c>
      <c r="M423">
        <v>-4</v>
      </c>
      <c r="N423" t="s">
        <v>66</v>
      </c>
    </row>
    <row r="424" spans="1:14" x14ac:dyDescent="0.25">
      <c r="A424" t="s">
        <v>64</v>
      </c>
      <c r="B424">
        <v>327</v>
      </c>
      <c r="C424" s="1">
        <v>42789</v>
      </c>
      <c r="D424" t="s">
        <v>269</v>
      </c>
      <c r="E424" s="1">
        <v>42774</v>
      </c>
      <c r="F424">
        <v>0</v>
      </c>
      <c r="G424" s="1">
        <v>42790</v>
      </c>
      <c r="H424" s="1">
        <v>42794</v>
      </c>
      <c r="I424" t="s">
        <v>15</v>
      </c>
      <c r="J424">
        <v>80.19</v>
      </c>
      <c r="K424">
        <v>14.46</v>
      </c>
      <c r="L424">
        <v>65.73</v>
      </c>
      <c r="M424">
        <v>-4</v>
      </c>
      <c r="N424" t="s">
        <v>16</v>
      </c>
    </row>
    <row r="425" spans="1:14" x14ac:dyDescent="0.25">
      <c r="A425" t="s">
        <v>64</v>
      </c>
      <c r="B425">
        <v>324</v>
      </c>
      <c r="C425" s="1">
        <v>42789</v>
      </c>
      <c r="D425" t="s">
        <v>270</v>
      </c>
      <c r="E425" s="1">
        <v>42774</v>
      </c>
      <c r="F425">
        <v>0</v>
      </c>
      <c r="G425" s="1">
        <v>42790</v>
      </c>
      <c r="H425" s="1">
        <v>42794</v>
      </c>
      <c r="I425" t="s">
        <v>15</v>
      </c>
      <c r="J425">
        <v>2.15</v>
      </c>
      <c r="K425">
        <v>0.39</v>
      </c>
      <c r="L425">
        <v>1.76</v>
      </c>
      <c r="M425">
        <v>-4</v>
      </c>
      <c r="N425" t="s">
        <v>16</v>
      </c>
    </row>
    <row r="426" spans="1:14" x14ac:dyDescent="0.25">
      <c r="A426" t="s">
        <v>64</v>
      </c>
      <c r="B426">
        <v>328</v>
      </c>
      <c r="C426" s="1">
        <v>42789</v>
      </c>
      <c r="D426" t="s">
        <v>271</v>
      </c>
      <c r="E426" s="1">
        <v>42774</v>
      </c>
      <c r="F426">
        <v>0</v>
      </c>
      <c r="G426" s="1">
        <v>42790</v>
      </c>
      <c r="H426" s="1">
        <v>42794</v>
      </c>
      <c r="I426" t="s">
        <v>15</v>
      </c>
      <c r="J426" s="2">
        <v>1743.12</v>
      </c>
      <c r="K426">
        <v>314.33</v>
      </c>
      <c r="L426" s="2">
        <v>1428.79</v>
      </c>
      <c r="M426">
        <v>-4</v>
      </c>
      <c r="N426" t="s">
        <v>16</v>
      </c>
    </row>
    <row r="427" spans="1:14" x14ac:dyDescent="0.25">
      <c r="A427" t="s">
        <v>64</v>
      </c>
      <c r="B427">
        <v>882</v>
      </c>
      <c r="C427" s="1">
        <v>42872</v>
      </c>
      <c r="D427" t="s">
        <v>263</v>
      </c>
      <c r="E427" s="1">
        <v>42857</v>
      </c>
      <c r="F427">
        <v>0</v>
      </c>
      <c r="G427" s="1">
        <v>42873</v>
      </c>
      <c r="H427" s="1">
        <v>42877</v>
      </c>
      <c r="I427" t="s">
        <v>15</v>
      </c>
      <c r="J427">
        <v>124.05</v>
      </c>
      <c r="K427">
        <v>14.77</v>
      </c>
      <c r="L427">
        <v>109.28</v>
      </c>
      <c r="M427">
        <v>-4</v>
      </c>
      <c r="N427" t="s">
        <v>66</v>
      </c>
    </row>
    <row r="428" spans="1:14" x14ac:dyDescent="0.25">
      <c r="A428" t="s">
        <v>64</v>
      </c>
      <c r="B428">
        <v>329</v>
      </c>
      <c r="C428" s="1">
        <v>42789</v>
      </c>
      <c r="D428" t="s">
        <v>272</v>
      </c>
      <c r="E428" s="1">
        <v>42774</v>
      </c>
      <c r="F428">
        <v>0</v>
      </c>
      <c r="G428" s="1">
        <v>42790</v>
      </c>
      <c r="H428" s="1">
        <v>42794</v>
      </c>
      <c r="I428" t="s">
        <v>15</v>
      </c>
      <c r="J428" s="2">
        <v>1031.4000000000001</v>
      </c>
      <c r="K428">
        <v>185.99</v>
      </c>
      <c r="L428">
        <v>845.41</v>
      </c>
      <c r="M428">
        <v>-4</v>
      </c>
      <c r="N428" t="s">
        <v>16</v>
      </c>
    </row>
    <row r="429" spans="1:14" x14ac:dyDescent="0.25">
      <c r="A429" t="s">
        <v>64</v>
      </c>
      <c r="B429">
        <v>321</v>
      </c>
      <c r="C429" s="1">
        <v>42789</v>
      </c>
      <c r="D429" t="s">
        <v>273</v>
      </c>
      <c r="E429" s="1">
        <v>42774</v>
      </c>
      <c r="F429">
        <v>0</v>
      </c>
      <c r="G429" s="1">
        <v>42790</v>
      </c>
      <c r="H429" s="1">
        <v>42794</v>
      </c>
      <c r="I429" t="s">
        <v>15</v>
      </c>
      <c r="J429" s="2">
        <v>1123.1400000000001</v>
      </c>
      <c r="K429">
        <v>202.53</v>
      </c>
      <c r="L429">
        <v>920.61</v>
      </c>
      <c r="M429">
        <v>-4</v>
      </c>
      <c r="N429" t="s">
        <v>16</v>
      </c>
    </row>
    <row r="430" spans="1:14" x14ac:dyDescent="0.25">
      <c r="A430" t="s">
        <v>64</v>
      </c>
      <c r="B430">
        <v>879</v>
      </c>
      <c r="C430" s="1">
        <v>42872</v>
      </c>
      <c r="D430" t="s">
        <v>263</v>
      </c>
      <c r="E430" s="1">
        <v>42857</v>
      </c>
      <c r="F430">
        <v>0</v>
      </c>
      <c r="G430" s="1">
        <v>42873</v>
      </c>
      <c r="H430" s="1">
        <v>42877</v>
      </c>
      <c r="I430" t="s">
        <v>15</v>
      </c>
      <c r="J430" s="2">
        <v>1333.85</v>
      </c>
      <c r="K430">
        <v>158.78</v>
      </c>
      <c r="L430" s="2">
        <v>1175.07</v>
      </c>
      <c r="M430">
        <v>-4</v>
      </c>
      <c r="N430" t="s">
        <v>66</v>
      </c>
    </row>
    <row r="431" spans="1:14" x14ac:dyDescent="0.25">
      <c r="A431" t="s">
        <v>64</v>
      </c>
      <c r="B431">
        <v>881</v>
      </c>
      <c r="C431" s="1">
        <v>42872</v>
      </c>
      <c r="D431" t="s">
        <v>263</v>
      </c>
      <c r="E431" s="1">
        <v>42857</v>
      </c>
      <c r="F431">
        <v>0</v>
      </c>
      <c r="G431" s="1">
        <v>42873</v>
      </c>
      <c r="H431" s="1">
        <v>42877</v>
      </c>
      <c r="I431" t="s">
        <v>15</v>
      </c>
      <c r="J431">
        <v>278.39</v>
      </c>
      <c r="K431">
        <v>33.14</v>
      </c>
      <c r="L431">
        <v>245.25</v>
      </c>
      <c r="M431">
        <v>-4</v>
      </c>
      <c r="N431" t="s">
        <v>66</v>
      </c>
    </row>
    <row r="432" spans="1:14" x14ac:dyDescent="0.25">
      <c r="A432" t="s">
        <v>64</v>
      </c>
      <c r="B432">
        <v>874</v>
      </c>
      <c r="C432" s="1">
        <v>42872</v>
      </c>
      <c r="D432" t="s">
        <v>274</v>
      </c>
      <c r="E432" s="1">
        <v>42857</v>
      </c>
      <c r="F432">
        <v>0</v>
      </c>
      <c r="G432" s="1">
        <v>42873</v>
      </c>
      <c r="H432" s="1">
        <v>42877</v>
      </c>
      <c r="I432" t="s">
        <v>15</v>
      </c>
      <c r="J432">
        <v>409.69</v>
      </c>
      <c r="K432">
        <v>73.88</v>
      </c>
      <c r="L432">
        <v>335.81</v>
      </c>
      <c r="M432">
        <v>-4</v>
      </c>
      <c r="N432" t="s">
        <v>66</v>
      </c>
    </row>
    <row r="433" spans="1:14" x14ac:dyDescent="0.25">
      <c r="A433" t="s">
        <v>64</v>
      </c>
      <c r="B433">
        <v>323</v>
      </c>
      <c r="C433" s="1">
        <v>42789</v>
      </c>
      <c r="D433" t="s">
        <v>264</v>
      </c>
      <c r="E433" s="1">
        <v>42774</v>
      </c>
      <c r="F433">
        <v>0</v>
      </c>
      <c r="G433" s="1">
        <v>42790</v>
      </c>
      <c r="H433" s="1">
        <v>42794</v>
      </c>
      <c r="I433" t="s">
        <v>15</v>
      </c>
      <c r="J433">
        <v>173.87</v>
      </c>
      <c r="K433">
        <v>31.35</v>
      </c>
      <c r="L433">
        <v>142.52000000000001</v>
      </c>
      <c r="M433">
        <v>-4</v>
      </c>
      <c r="N433" t="s">
        <v>16</v>
      </c>
    </row>
    <row r="434" spans="1:14" x14ac:dyDescent="0.25">
      <c r="A434" t="s">
        <v>64</v>
      </c>
      <c r="B434">
        <v>332</v>
      </c>
      <c r="C434" s="1">
        <v>42789</v>
      </c>
      <c r="D434" t="s">
        <v>275</v>
      </c>
      <c r="E434" s="1">
        <v>42774</v>
      </c>
      <c r="F434">
        <v>0</v>
      </c>
      <c r="G434" s="1">
        <v>42790</v>
      </c>
      <c r="H434" s="1">
        <v>42794</v>
      </c>
      <c r="I434" t="s">
        <v>15</v>
      </c>
      <c r="J434">
        <v>81.12</v>
      </c>
      <c r="K434">
        <v>14.63</v>
      </c>
      <c r="L434">
        <v>66.489999999999995</v>
      </c>
      <c r="M434">
        <v>-4</v>
      </c>
      <c r="N434" t="s">
        <v>16</v>
      </c>
    </row>
    <row r="435" spans="1:14" x14ac:dyDescent="0.25">
      <c r="A435" t="s">
        <v>64</v>
      </c>
      <c r="B435">
        <v>331</v>
      </c>
      <c r="C435" s="1">
        <v>42789</v>
      </c>
      <c r="D435" t="s">
        <v>272</v>
      </c>
      <c r="E435" s="1">
        <v>42774</v>
      </c>
      <c r="F435">
        <v>0</v>
      </c>
      <c r="G435" s="1">
        <v>42790</v>
      </c>
      <c r="H435" s="1">
        <v>42794</v>
      </c>
      <c r="I435" t="s">
        <v>15</v>
      </c>
      <c r="J435" s="2">
        <v>2835.65</v>
      </c>
      <c r="K435">
        <v>511.35</v>
      </c>
      <c r="L435" s="2">
        <v>2324.3000000000002</v>
      </c>
      <c r="M435">
        <v>-4</v>
      </c>
      <c r="N435" t="s">
        <v>16</v>
      </c>
    </row>
    <row r="436" spans="1:14" x14ac:dyDescent="0.25">
      <c r="A436" t="s">
        <v>64</v>
      </c>
      <c r="B436">
        <v>876</v>
      </c>
      <c r="C436" s="1">
        <v>42872</v>
      </c>
      <c r="D436" t="s">
        <v>263</v>
      </c>
      <c r="E436" s="1">
        <v>42857</v>
      </c>
      <c r="F436">
        <v>0</v>
      </c>
      <c r="G436" s="1">
        <v>42873</v>
      </c>
      <c r="H436" s="1">
        <v>42877</v>
      </c>
      <c r="I436" t="s">
        <v>15</v>
      </c>
      <c r="J436">
        <v>83.31</v>
      </c>
      <c r="K436">
        <v>9.92</v>
      </c>
      <c r="L436">
        <v>73.39</v>
      </c>
      <c r="M436">
        <v>-4</v>
      </c>
      <c r="N436" t="s">
        <v>66</v>
      </c>
    </row>
    <row r="437" spans="1:14" x14ac:dyDescent="0.25">
      <c r="A437" t="s">
        <v>37</v>
      </c>
      <c r="B437">
        <v>1398</v>
      </c>
      <c r="C437" s="1">
        <v>42942</v>
      </c>
      <c r="D437" t="s">
        <v>276</v>
      </c>
      <c r="E437" s="1">
        <v>42916</v>
      </c>
      <c r="F437">
        <v>0</v>
      </c>
      <c r="G437" s="1">
        <v>42943</v>
      </c>
      <c r="H437" s="1">
        <v>42947</v>
      </c>
      <c r="I437" t="s">
        <v>15</v>
      </c>
      <c r="J437" s="2">
        <v>1036.6199999999999</v>
      </c>
      <c r="K437">
        <v>39.869999999999997</v>
      </c>
      <c r="L437">
        <v>996.75</v>
      </c>
      <c r="M437">
        <v>-4</v>
      </c>
      <c r="N437" t="s">
        <v>39</v>
      </c>
    </row>
    <row r="438" spans="1:14" x14ac:dyDescent="0.25">
      <c r="A438" t="s">
        <v>37</v>
      </c>
      <c r="B438">
        <v>561</v>
      </c>
      <c r="C438" s="1">
        <v>42821</v>
      </c>
      <c r="D438" t="s">
        <v>277</v>
      </c>
      <c r="E438" s="1">
        <v>42794</v>
      </c>
      <c r="F438">
        <v>0</v>
      </c>
      <c r="G438" s="1">
        <v>42821</v>
      </c>
      <c r="H438" s="1">
        <v>42825</v>
      </c>
      <c r="I438" t="s">
        <v>15</v>
      </c>
      <c r="J438">
        <v>50.15</v>
      </c>
      <c r="K438">
        <v>4.5599999999999996</v>
      </c>
      <c r="L438">
        <v>45.59</v>
      </c>
      <c r="M438">
        <v>-4</v>
      </c>
      <c r="N438" t="s">
        <v>39</v>
      </c>
    </row>
    <row r="439" spans="1:14" x14ac:dyDescent="0.25">
      <c r="A439" t="s">
        <v>37</v>
      </c>
      <c r="B439">
        <v>561</v>
      </c>
      <c r="C439" s="1">
        <v>42821</v>
      </c>
      <c r="D439" t="s">
        <v>278</v>
      </c>
      <c r="E439" s="1">
        <v>42794</v>
      </c>
      <c r="F439">
        <v>0</v>
      </c>
      <c r="G439" s="1">
        <v>42821</v>
      </c>
      <c r="H439" s="1">
        <v>42825</v>
      </c>
      <c r="I439" t="s">
        <v>15</v>
      </c>
      <c r="J439" s="2">
        <v>8774.0300000000007</v>
      </c>
      <c r="K439">
        <v>337.46</v>
      </c>
      <c r="L439" s="2">
        <v>8436.57</v>
      </c>
      <c r="M439">
        <v>-4</v>
      </c>
      <c r="N439" t="s">
        <v>39</v>
      </c>
    </row>
    <row r="440" spans="1:14" x14ac:dyDescent="0.25">
      <c r="A440" t="s">
        <v>37</v>
      </c>
      <c r="B440">
        <v>1397</v>
      </c>
      <c r="C440" s="1">
        <v>42942</v>
      </c>
      <c r="D440" t="s">
        <v>279</v>
      </c>
      <c r="E440" s="1">
        <v>42916</v>
      </c>
      <c r="F440">
        <v>0</v>
      </c>
      <c r="G440" s="1">
        <v>42943</v>
      </c>
      <c r="H440" s="1">
        <v>42947</v>
      </c>
      <c r="I440" t="s">
        <v>15</v>
      </c>
      <c r="J440" s="2">
        <v>2249.23</v>
      </c>
      <c r="K440">
        <v>86.51</v>
      </c>
      <c r="L440" s="2">
        <v>2162.7199999999998</v>
      </c>
      <c r="M440">
        <v>-4</v>
      </c>
      <c r="N440" t="s">
        <v>39</v>
      </c>
    </row>
    <row r="441" spans="1:14" x14ac:dyDescent="0.25">
      <c r="A441" t="s">
        <v>280</v>
      </c>
      <c r="B441">
        <v>1399</v>
      </c>
      <c r="C441" s="1">
        <v>42942</v>
      </c>
      <c r="D441" t="s">
        <v>281</v>
      </c>
      <c r="E441" s="1">
        <v>42916</v>
      </c>
      <c r="F441">
        <v>0</v>
      </c>
      <c r="G441" s="1">
        <v>42943</v>
      </c>
      <c r="H441" s="1">
        <v>42947</v>
      </c>
      <c r="I441" t="s">
        <v>15</v>
      </c>
      <c r="J441">
        <v>118.77</v>
      </c>
      <c r="K441">
        <v>21.42</v>
      </c>
      <c r="L441">
        <v>97.35</v>
      </c>
      <c r="M441">
        <v>-4</v>
      </c>
      <c r="N441" t="s">
        <v>282</v>
      </c>
    </row>
    <row r="442" spans="1:14" x14ac:dyDescent="0.25">
      <c r="A442" t="s">
        <v>283</v>
      </c>
      <c r="B442">
        <v>1891</v>
      </c>
      <c r="C442" s="1">
        <v>43033</v>
      </c>
      <c r="D442" s="4">
        <v>43040</v>
      </c>
      <c r="E442" s="1">
        <v>43008</v>
      </c>
      <c r="F442">
        <v>0</v>
      </c>
      <c r="G442" s="1">
        <v>43034</v>
      </c>
      <c r="H442" s="1">
        <v>43038</v>
      </c>
      <c r="I442" t="s">
        <v>15</v>
      </c>
      <c r="J442" s="2">
        <v>1282.82</v>
      </c>
      <c r="K442">
        <v>231.33</v>
      </c>
      <c r="L442" s="2">
        <v>1051.49</v>
      </c>
      <c r="M442">
        <v>-4</v>
      </c>
      <c r="N442" t="s">
        <v>129</v>
      </c>
    </row>
    <row r="443" spans="1:14" x14ac:dyDescent="0.25">
      <c r="A443" t="s">
        <v>284</v>
      </c>
      <c r="B443">
        <v>520</v>
      </c>
      <c r="C443" s="1">
        <v>42816</v>
      </c>
      <c r="D443" t="str">
        <f>"1700034"</f>
        <v>1700034</v>
      </c>
      <c r="E443" s="1">
        <v>42794</v>
      </c>
      <c r="F443">
        <v>0</v>
      </c>
      <c r="G443" s="1">
        <v>42821</v>
      </c>
      <c r="H443" s="1">
        <v>42825</v>
      </c>
      <c r="I443" t="s">
        <v>15</v>
      </c>
      <c r="J443">
        <v>585.6</v>
      </c>
      <c r="K443">
        <v>105.6</v>
      </c>
      <c r="L443">
        <v>480</v>
      </c>
      <c r="M443">
        <v>-4</v>
      </c>
      <c r="N443" t="s">
        <v>285</v>
      </c>
    </row>
    <row r="444" spans="1:14" x14ac:dyDescent="0.25">
      <c r="A444" t="s">
        <v>135</v>
      </c>
      <c r="B444">
        <v>1395</v>
      </c>
      <c r="C444" s="1">
        <v>42942</v>
      </c>
      <c r="D444" t="str">
        <f>"57"</f>
        <v>57</v>
      </c>
      <c r="E444" s="1">
        <v>42916</v>
      </c>
      <c r="F444">
        <v>0</v>
      </c>
      <c r="G444" s="1">
        <v>42943</v>
      </c>
      <c r="H444" s="1">
        <v>42947</v>
      </c>
      <c r="I444" t="s">
        <v>15</v>
      </c>
      <c r="J444">
        <v>935.33</v>
      </c>
      <c r="K444">
        <v>168.67</v>
      </c>
      <c r="L444">
        <v>766.66</v>
      </c>
      <c r="M444">
        <v>-4</v>
      </c>
      <c r="N444" t="s">
        <v>136</v>
      </c>
    </row>
    <row r="445" spans="1:14" x14ac:dyDescent="0.25">
      <c r="A445" t="s">
        <v>135</v>
      </c>
      <c r="B445">
        <v>1396</v>
      </c>
      <c r="C445" s="1">
        <v>42942</v>
      </c>
      <c r="D445" t="str">
        <f>"59"</f>
        <v>59</v>
      </c>
      <c r="E445" s="1">
        <v>42916</v>
      </c>
      <c r="F445">
        <v>0</v>
      </c>
      <c r="G445" s="1">
        <v>42943</v>
      </c>
      <c r="H445" s="1">
        <v>42947</v>
      </c>
      <c r="I445" t="s">
        <v>15</v>
      </c>
      <c r="J445">
        <v>854</v>
      </c>
      <c r="K445">
        <v>154</v>
      </c>
      <c r="L445">
        <v>700</v>
      </c>
      <c r="M445">
        <v>-4</v>
      </c>
      <c r="N445" t="s">
        <v>136</v>
      </c>
    </row>
    <row r="446" spans="1:14" x14ac:dyDescent="0.25">
      <c r="A446" t="s">
        <v>286</v>
      </c>
      <c r="B446">
        <v>517</v>
      </c>
      <c r="C446" s="1">
        <v>42816</v>
      </c>
      <c r="D446" t="str">
        <f>"13"</f>
        <v>13</v>
      </c>
      <c r="E446" s="1">
        <v>42795</v>
      </c>
      <c r="F446">
        <v>0</v>
      </c>
      <c r="G446" s="1">
        <v>42821</v>
      </c>
      <c r="H446" s="1">
        <v>42826</v>
      </c>
      <c r="I446" t="s">
        <v>15</v>
      </c>
      <c r="J446" s="2">
        <v>14995.68</v>
      </c>
      <c r="K446" s="2">
        <v>2704.14</v>
      </c>
      <c r="L446" s="2">
        <v>12291.54</v>
      </c>
      <c r="M446">
        <v>-5</v>
      </c>
      <c r="N446" t="s">
        <v>287</v>
      </c>
    </row>
    <row r="447" spans="1:14" x14ac:dyDescent="0.25">
      <c r="A447" t="s">
        <v>31</v>
      </c>
      <c r="B447">
        <v>464</v>
      </c>
      <c r="C447" s="1">
        <v>42804</v>
      </c>
      <c r="D447" t="s">
        <v>288</v>
      </c>
      <c r="E447" s="1">
        <v>42779</v>
      </c>
      <c r="F447">
        <v>0</v>
      </c>
      <c r="G447" s="1">
        <v>42804</v>
      </c>
      <c r="H447" s="1">
        <v>42809</v>
      </c>
      <c r="I447" t="s">
        <v>15</v>
      </c>
      <c r="J447" s="2">
        <v>4011.84</v>
      </c>
      <c r="K447">
        <v>191.04</v>
      </c>
      <c r="L447" s="2">
        <v>3820.8</v>
      </c>
      <c r="M447">
        <v>-5</v>
      </c>
      <c r="N447" t="s">
        <v>289</v>
      </c>
    </row>
    <row r="448" spans="1:14" x14ac:dyDescent="0.25">
      <c r="A448" t="s">
        <v>130</v>
      </c>
      <c r="B448">
        <v>2119</v>
      </c>
      <c r="C448" s="1">
        <v>43066</v>
      </c>
      <c r="D448" t="s">
        <v>290</v>
      </c>
      <c r="E448" s="1">
        <v>43010</v>
      </c>
      <c r="F448">
        <v>0</v>
      </c>
      <c r="G448" s="1">
        <v>43067</v>
      </c>
      <c r="H448" s="1">
        <v>43072</v>
      </c>
      <c r="I448" t="s">
        <v>23</v>
      </c>
      <c r="J448" s="2">
        <v>1108.8</v>
      </c>
      <c r="K448">
        <v>29.99</v>
      </c>
      <c r="L448" s="2">
        <v>1078.81</v>
      </c>
      <c r="M448">
        <v>-5</v>
      </c>
      <c r="N448" t="s">
        <v>291</v>
      </c>
    </row>
    <row r="449" spans="1:14" x14ac:dyDescent="0.25">
      <c r="A449" t="s">
        <v>130</v>
      </c>
      <c r="B449">
        <v>1421</v>
      </c>
      <c r="C449" s="1">
        <v>42956</v>
      </c>
      <c r="D449" t="s">
        <v>292</v>
      </c>
      <c r="E449" s="1">
        <v>42891</v>
      </c>
      <c r="F449">
        <v>0</v>
      </c>
      <c r="G449" s="1">
        <v>42957</v>
      </c>
      <c r="H449" s="1">
        <v>42962</v>
      </c>
      <c r="I449" t="s">
        <v>23</v>
      </c>
      <c r="J449">
        <v>340.92</v>
      </c>
      <c r="K449">
        <v>9.2200000000000006</v>
      </c>
      <c r="L449">
        <v>331.7</v>
      </c>
      <c r="M449">
        <v>-5</v>
      </c>
      <c r="N449" t="s">
        <v>39</v>
      </c>
    </row>
    <row r="450" spans="1:14" x14ac:dyDescent="0.25">
      <c r="A450" t="s">
        <v>28</v>
      </c>
      <c r="B450">
        <v>1932</v>
      </c>
      <c r="C450" s="1">
        <v>43033</v>
      </c>
      <c r="D450" t="s">
        <v>293</v>
      </c>
      <c r="E450" s="1">
        <v>43005</v>
      </c>
      <c r="F450">
        <v>0</v>
      </c>
      <c r="G450" s="1">
        <v>43034</v>
      </c>
      <c r="H450" s="1">
        <v>43039</v>
      </c>
      <c r="I450" t="s">
        <v>15</v>
      </c>
      <c r="J450" s="2">
        <v>2257</v>
      </c>
      <c r="K450">
        <v>407</v>
      </c>
      <c r="L450" s="2">
        <v>1850</v>
      </c>
      <c r="M450">
        <v>-5</v>
      </c>
      <c r="N450" t="s">
        <v>30</v>
      </c>
    </row>
    <row r="451" spans="1:14" x14ac:dyDescent="0.25">
      <c r="A451" t="s">
        <v>180</v>
      </c>
      <c r="B451">
        <v>1574</v>
      </c>
      <c r="C451" s="1">
        <v>42971</v>
      </c>
      <c r="D451" t="str">
        <f>"168"</f>
        <v>168</v>
      </c>
      <c r="E451" s="1">
        <v>42947</v>
      </c>
      <c r="F451">
        <v>0</v>
      </c>
      <c r="G451" s="1">
        <v>42972</v>
      </c>
      <c r="H451" s="1">
        <v>42977</v>
      </c>
      <c r="I451" t="s">
        <v>15</v>
      </c>
      <c r="J451">
        <v>500</v>
      </c>
      <c r="K451">
        <v>90.16</v>
      </c>
      <c r="L451">
        <v>409.84</v>
      </c>
      <c r="M451">
        <v>-5</v>
      </c>
      <c r="N451" t="s">
        <v>66</v>
      </c>
    </row>
    <row r="452" spans="1:14" x14ac:dyDescent="0.25">
      <c r="A452" t="s">
        <v>180</v>
      </c>
      <c r="B452">
        <v>1170</v>
      </c>
      <c r="C452" s="1">
        <v>42913</v>
      </c>
      <c r="D452" t="str">
        <f>"120"</f>
        <v>120</v>
      </c>
      <c r="E452" s="1">
        <v>42886</v>
      </c>
      <c r="F452">
        <v>0</v>
      </c>
      <c r="G452" s="1">
        <v>42914</v>
      </c>
      <c r="H452" s="1">
        <v>42919</v>
      </c>
      <c r="I452" t="s">
        <v>15</v>
      </c>
      <c r="J452">
        <v>194.59</v>
      </c>
      <c r="K452">
        <v>35.090000000000003</v>
      </c>
      <c r="L452">
        <v>159.5</v>
      </c>
      <c r="M452">
        <v>-5</v>
      </c>
      <c r="N452" t="s">
        <v>66</v>
      </c>
    </row>
    <row r="453" spans="1:14" x14ac:dyDescent="0.25">
      <c r="A453" t="s">
        <v>180</v>
      </c>
      <c r="B453">
        <v>1577</v>
      </c>
      <c r="C453" s="1">
        <v>42971</v>
      </c>
      <c r="D453" t="str">
        <f>"168"</f>
        <v>168</v>
      </c>
      <c r="E453" s="1">
        <v>42947</v>
      </c>
      <c r="F453">
        <v>0</v>
      </c>
      <c r="G453" s="1">
        <v>42972</v>
      </c>
      <c r="H453" s="1">
        <v>42977</v>
      </c>
      <c r="I453" t="s">
        <v>15</v>
      </c>
      <c r="J453">
        <v>500</v>
      </c>
      <c r="K453">
        <v>90.16</v>
      </c>
      <c r="L453">
        <v>409.84</v>
      </c>
      <c r="M453">
        <v>-5</v>
      </c>
      <c r="N453" t="s">
        <v>66</v>
      </c>
    </row>
    <row r="454" spans="1:14" x14ac:dyDescent="0.25">
      <c r="A454" t="s">
        <v>180</v>
      </c>
      <c r="B454">
        <v>1171</v>
      </c>
      <c r="C454" s="1">
        <v>42913</v>
      </c>
      <c r="D454" t="str">
        <f>"120"</f>
        <v>120</v>
      </c>
      <c r="E454" s="1">
        <v>42886</v>
      </c>
      <c r="F454">
        <v>0</v>
      </c>
      <c r="G454" s="1">
        <v>42914</v>
      </c>
      <c r="H454" s="1">
        <v>42919</v>
      </c>
      <c r="I454" t="s">
        <v>15</v>
      </c>
      <c r="J454">
        <v>80</v>
      </c>
      <c r="K454">
        <v>14.43</v>
      </c>
      <c r="L454">
        <v>65.569999999999993</v>
      </c>
      <c r="M454">
        <v>-5</v>
      </c>
      <c r="N454" t="s">
        <v>66</v>
      </c>
    </row>
    <row r="455" spans="1:14" x14ac:dyDescent="0.25">
      <c r="A455" t="s">
        <v>180</v>
      </c>
      <c r="B455">
        <v>1578</v>
      </c>
      <c r="C455" s="1">
        <v>42971</v>
      </c>
      <c r="D455" t="str">
        <f>"168"</f>
        <v>168</v>
      </c>
      <c r="E455" s="1">
        <v>42947</v>
      </c>
      <c r="F455">
        <v>0</v>
      </c>
      <c r="G455" s="1">
        <v>42972</v>
      </c>
      <c r="H455" s="1">
        <v>42977</v>
      </c>
      <c r="I455" t="s">
        <v>15</v>
      </c>
      <c r="J455">
        <v>50</v>
      </c>
      <c r="K455">
        <v>9.02</v>
      </c>
      <c r="L455">
        <v>40.98</v>
      </c>
      <c r="M455">
        <v>-5</v>
      </c>
      <c r="N455" t="s">
        <v>66</v>
      </c>
    </row>
    <row r="456" spans="1:14" x14ac:dyDescent="0.25">
      <c r="A456" t="s">
        <v>180</v>
      </c>
      <c r="B456">
        <v>449</v>
      </c>
      <c r="C456" s="1">
        <v>42802</v>
      </c>
      <c r="D456" t="str">
        <f>"17"</f>
        <v>17</v>
      </c>
      <c r="E456" s="1">
        <v>42766</v>
      </c>
      <c r="F456">
        <v>0</v>
      </c>
      <c r="G456" s="1">
        <v>42804</v>
      </c>
      <c r="H456" s="1">
        <v>42809</v>
      </c>
      <c r="I456" t="s">
        <v>15</v>
      </c>
      <c r="J456">
        <v>194.59</v>
      </c>
      <c r="K456">
        <v>35.090000000000003</v>
      </c>
      <c r="L456">
        <v>159.5</v>
      </c>
      <c r="M456">
        <v>-5</v>
      </c>
      <c r="N456" t="s">
        <v>16</v>
      </c>
    </row>
    <row r="457" spans="1:14" x14ac:dyDescent="0.25">
      <c r="A457" t="s">
        <v>180</v>
      </c>
      <c r="B457">
        <v>1758</v>
      </c>
      <c r="C457" s="1">
        <v>43007</v>
      </c>
      <c r="D457" t="str">
        <f>"192"</f>
        <v>192</v>
      </c>
      <c r="E457" s="1">
        <v>42978</v>
      </c>
      <c r="F457">
        <v>0</v>
      </c>
      <c r="G457" s="1">
        <v>43010</v>
      </c>
      <c r="H457" s="1">
        <v>43015</v>
      </c>
      <c r="I457" t="s">
        <v>15</v>
      </c>
      <c r="J457">
        <v>500</v>
      </c>
      <c r="K457">
        <v>90.16</v>
      </c>
      <c r="L457">
        <v>409.84</v>
      </c>
      <c r="M457">
        <v>-5</v>
      </c>
      <c r="N457" t="s">
        <v>66</v>
      </c>
    </row>
    <row r="458" spans="1:14" x14ac:dyDescent="0.25">
      <c r="A458" t="s">
        <v>180</v>
      </c>
      <c r="B458">
        <v>448</v>
      </c>
      <c r="C458" s="1">
        <v>42802</v>
      </c>
      <c r="D458" t="str">
        <f>"17"</f>
        <v>17</v>
      </c>
      <c r="E458" s="1">
        <v>42766</v>
      </c>
      <c r="F458">
        <v>0</v>
      </c>
      <c r="G458" s="1">
        <v>42804</v>
      </c>
      <c r="H458" s="1">
        <v>42809</v>
      </c>
      <c r="I458" t="s">
        <v>15</v>
      </c>
      <c r="J458">
        <v>500</v>
      </c>
      <c r="K458">
        <v>90.16</v>
      </c>
      <c r="L458">
        <v>409.84</v>
      </c>
      <c r="M458">
        <v>-5</v>
      </c>
      <c r="N458" t="s">
        <v>16</v>
      </c>
    </row>
    <row r="459" spans="1:14" x14ac:dyDescent="0.25">
      <c r="A459" t="s">
        <v>180</v>
      </c>
      <c r="B459">
        <v>1755</v>
      </c>
      <c r="C459" s="1">
        <v>43007</v>
      </c>
      <c r="D459" t="str">
        <f>"192"</f>
        <v>192</v>
      </c>
      <c r="E459" s="1">
        <v>42978</v>
      </c>
      <c r="F459">
        <v>0</v>
      </c>
      <c r="G459" s="1">
        <v>43010</v>
      </c>
      <c r="H459" s="1">
        <v>43015</v>
      </c>
      <c r="I459" t="s">
        <v>15</v>
      </c>
      <c r="J459">
        <v>500</v>
      </c>
      <c r="K459">
        <v>90.16</v>
      </c>
      <c r="L459">
        <v>409.84</v>
      </c>
      <c r="M459">
        <v>-5</v>
      </c>
      <c r="N459" t="s">
        <v>66</v>
      </c>
    </row>
    <row r="460" spans="1:14" x14ac:dyDescent="0.25">
      <c r="A460" t="s">
        <v>180</v>
      </c>
      <c r="B460">
        <v>1172</v>
      </c>
      <c r="C460" s="1">
        <v>42913</v>
      </c>
      <c r="D460" t="str">
        <f>"120"</f>
        <v>120</v>
      </c>
      <c r="E460" s="1">
        <v>42886</v>
      </c>
      <c r="F460">
        <v>0</v>
      </c>
      <c r="G460" s="1">
        <v>42914</v>
      </c>
      <c r="H460" s="1">
        <v>42919</v>
      </c>
      <c r="I460" t="s">
        <v>15</v>
      </c>
      <c r="J460">
        <v>500</v>
      </c>
      <c r="K460">
        <v>90.16</v>
      </c>
      <c r="L460">
        <v>409.84</v>
      </c>
      <c r="M460">
        <v>-5</v>
      </c>
      <c r="N460" t="s">
        <v>66</v>
      </c>
    </row>
    <row r="461" spans="1:14" x14ac:dyDescent="0.25">
      <c r="A461" t="s">
        <v>180</v>
      </c>
      <c r="B461">
        <v>451</v>
      </c>
      <c r="C461" s="1">
        <v>42802</v>
      </c>
      <c r="D461" t="str">
        <f>"17"</f>
        <v>17</v>
      </c>
      <c r="E461" s="1">
        <v>42766</v>
      </c>
      <c r="F461">
        <v>0</v>
      </c>
      <c r="G461" s="1">
        <v>42804</v>
      </c>
      <c r="H461" s="1">
        <v>42809</v>
      </c>
      <c r="I461" t="s">
        <v>15</v>
      </c>
      <c r="J461">
        <v>500</v>
      </c>
      <c r="K461">
        <v>90.16</v>
      </c>
      <c r="L461">
        <v>409.84</v>
      </c>
      <c r="M461">
        <v>-5</v>
      </c>
      <c r="N461" t="s">
        <v>16</v>
      </c>
    </row>
    <row r="462" spans="1:14" x14ac:dyDescent="0.25">
      <c r="A462" t="s">
        <v>180</v>
      </c>
      <c r="B462">
        <v>452</v>
      </c>
      <c r="C462" s="1">
        <v>42802</v>
      </c>
      <c r="D462" t="str">
        <f>"17"</f>
        <v>17</v>
      </c>
      <c r="E462" s="1">
        <v>42766</v>
      </c>
      <c r="F462">
        <v>0</v>
      </c>
      <c r="G462" s="1">
        <v>42804</v>
      </c>
      <c r="H462" s="1">
        <v>42809</v>
      </c>
      <c r="I462" t="s">
        <v>15</v>
      </c>
      <c r="J462">
        <v>50</v>
      </c>
      <c r="K462">
        <v>9.02</v>
      </c>
      <c r="L462">
        <v>40.98</v>
      </c>
      <c r="M462">
        <v>-5</v>
      </c>
      <c r="N462" t="s">
        <v>16</v>
      </c>
    </row>
    <row r="463" spans="1:14" x14ac:dyDescent="0.25">
      <c r="A463" t="s">
        <v>180</v>
      </c>
      <c r="B463">
        <v>1169</v>
      </c>
      <c r="C463" s="1">
        <v>42913</v>
      </c>
      <c r="D463" t="str">
        <f>"120"</f>
        <v>120</v>
      </c>
      <c r="E463" s="1">
        <v>42886</v>
      </c>
      <c r="F463">
        <v>0</v>
      </c>
      <c r="G463" s="1">
        <v>42914</v>
      </c>
      <c r="H463" s="1">
        <v>42919</v>
      </c>
      <c r="I463" t="s">
        <v>15</v>
      </c>
      <c r="J463">
        <v>500</v>
      </c>
      <c r="K463">
        <v>90.16</v>
      </c>
      <c r="L463">
        <v>409.84</v>
      </c>
      <c r="M463">
        <v>-5</v>
      </c>
      <c r="N463" t="s">
        <v>66</v>
      </c>
    </row>
    <row r="464" spans="1:14" x14ac:dyDescent="0.25">
      <c r="A464" t="s">
        <v>180</v>
      </c>
      <c r="B464">
        <v>1576</v>
      </c>
      <c r="C464" s="1">
        <v>42971</v>
      </c>
      <c r="D464" t="str">
        <f>"168"</f>
        <v>168</v>
      </c>
      <c r="E464" s="1">
        <v>42947</v>
      </c>
      <c r="F464">
        <v>0</v>
      </c>
      <c r="G464" s="1">
        <v>42972</v>
      </c>
      <c r="H464" s="1">
        <v>42977</v>
      </c>
      <c r="I464" t="s">
        <v>15</v>
      </c>
      <c r="J464">
        <v>80</v>
      </c>
      <c r="K464">
        <v>14.43</v>
      </c>
      <c r="L464">
        <v>65.569999999999993</v>
      </c>
      <c r="M464">
        <v>-5</v>
      </c>
      <c r="N464" t="s">
        <v>66</v>
      </c>
    </row>
    <row r="465" spans="1:14" x14ac:dyDescent="0.25">
      <c r="A465" t="s">
        <v>180</v>
      </c>
      <c r="B465">
        <v>1173</v>
      </c>
      <c r="C465" s="1">
        <v>42913</v>
      </c>
      <c r="D465" t="str">
        <f>"120"</f>
        <v>120</v>
      </c>
      <c r="E465" s="1">
        <v>42886</v>
      </c>
      <c r="F465">
        <v>0</v>
      </c>
      <c r="G465" s="1">
        <v>42914</v>
      </c>
      <c r="H465" s="1">
        <v>42919</v>
      </c>
      <c r="I465" t="s">
        <v>15</v>
      </c>
      <c r="J465">
        <v>50</v>
      </c>
      <c r="K465">
        <v>9.02</v>
      </c>
      <c r="L465">
        <v>40.98</v>
      </c>
      <c r="M465">
        <v>-5</v>
      </c>
      <c r="N465" t="s">
        <v>66</v>
      </c>
    </row>
    <row r="466" spans="1:14" x14ac:dyDescent="0.25">
      <c r="A466" t="s">
        <v>180</v>
      </c>
      <c r="B466">
        <v>1575</v>
      </c>
      <c r="C466" s="1">
        <v>42971</v>
      </c>
      <c r="D466" t="str">
        <f>"168"</f>
        <v>168</v>
      </c>
      <c r="E466" s="1">
        <v>42947</v>
      </c>
      <c r="F466">
        <v>0</v>
      </c>
      <c r="G466" s="1">
        <v>42972</v>
      </c>
      <c r="H466" s="1">
        <v>42977</v>
      </c>
      <c r="I466" t="s">
        <v>15</v>
      </c>
      <c r="J466">
        <v>194.59</v>
      </c>
      <c r="K466">
        <v>35.090000000000003</v>
      </c>
      <c r="L466">
        <v>159.5</v>
      </c>
      <c r="M466">
        <v>-5</v>
      </c>
      <c r="N466" t="s">
        <v>66</v>
      </c>
    </row>
    <row r="467" spans="1:14" x14ac:dyDescent="0.25">
      <c r="A467" t="s">
        <v>180</v>
      </c>
      <c r="B467">
        <v>450</v>
      </c>
      <c r="C467" s="1">
        <v>42802</v>
      </c>
      <c r="D467" t="str">
        <f>"17"</f>
        <v>17</v>
      </c>
      <c r="E467" s="1">
        <v>42766</v>
      </c>
      <c r="F467">
        <v>0</v>
      </c>
      <c r="G467" s="1">
        <v>42804</v>
      </c>
      <c r="H467" s="1">
        <v>42809</v>
      </c>
      <c r="I467" t="s">
        <v>15</v>
      </c>
      <c r="J467">
        <v>80</v>
      </c>
      <c r="K467">
        <v>14.43</v>
      </c>
      <c r="L467">
        <v>65.569999999999993</v>
      </c>
      <c r="M467">
        <v>-5</v>
      </c>
      <c r="N467" t="s">
        <v>16</v>
      </c>
    </row>
    <row r="468" spans="1:14" x14ac:dyDescent="0.25">
      <c r="A468" t="s">
        <v>180</v>
      </c>
      <c r="B468">
        <v>1756</v>
      </c>
      <c r="C468" s="1">
        <v>43007</v>
      </c>
      <c r="D468" t="str">
        <f>"192"</f>
        <v>192</v>
      </c>
      <c r="E468" s="1">
        <v>42978</v>
      </c>
      <c r="F468">
        <v>0</v>
      </c>
      <c r="G468" s="1">
        <v>43010</v>
      </c>
      <c r="H468" s="1">
        <v>43015</v>
      </c>
      <c r="I468" t="s">
        <v>15</v>
      </c>
      <c r="J468">
        <v>194.59</v>
      </c>
      <c r="K468">
        <v>35.090000000000003</v>
      </c>
      <c r="L468">
        <v>159.5</v>
      </c>
      <c r="M468">
        <v>-5</v>
      </c>
      <c r="N468" t="s">
        <v>66</v>
      </c>
    </row>
    <row r="469" spans="1:14" x14ac:dyDescent="0.25">
      <c r="A469" t="s">
        <v>180</v>
      </c>
      <c r="B469">
        <v>1759</v>
      </c>
      <c r="C469" s="1">
        <v>43007</v>
      </c>
      <c r="D469" t="str">
        <f>"192"</f>
        <v>192</v>
      </c>
      <c r="E469" s="1">
        <v>42978</v>
      </c>
      <c r="F469">
        <v>0</v>
      </c>
      <c r="G469" s="1">
        <v>43010</v>
      </c>
      <c r="H469" s="1">
        <v>43015</v>
      </c>
      <c r="I469" t="s">
        <v>15</v>
      </c>
      <c r="J469">
        <v>50</v>
      </c>
      <c r="K469">
        <v>9.02</v>
      </c>
      <c r="L469">
        <v>40.98</v>
      </c>
      <c r="M469">
        <v>-5</v>
      </c>
      <c r="N469" t="s">
        <v>66</v>
      </c>
    </row>
    <row r="470" spans="1:14" x14ac:dyDescent="0.25">
      <c r="A470" t="s">
        <v>180</v>
      </c>
      <c r="B470">
        <v>1757</v>
      </c>
      <c r="C470" s="1">
        <v>43007</v>
      </c>
      <c r="D470" t="str">
        <f>"192"</f>
        <v>192</v>
      </c>
      <c r="E470" s="1">
        <v>42978</v>
      </c>
      <c r="F470">
        <v>0</v>
      </c>
      <c r="G470" s="1">
        <v>43010</v>
      </c>
      <c r="H470" s="1">
        <v>43015</v>
      </c>
      <c r="I470" t="s">
        <v>15</v>
      </c>
      <c r="J470">
        <v>80</v>
      </c>
      <c r="K470">
        <v>14.43</v>
      </c>
      <c r="L470">
        <v>65.569999999999993</v>
      </c>
      <c r="M470">
        <v>-5</v>
      </c>
      <c r="N470" t="s">
        <v>66</v>
      </c>
    </row>
    <row r="471" spans="1:14" x14ac:dyDescent="0.25">
      <c r="A471" t="s">
        <v>135</v>
      </c>
      <c r="B471">
        <v>1918</v>
      </c>
      <c r="C471" s="1">
        <v>43033</v>
      </c>
      <c r="D471" t="str">
        <f>"86"</f>
        <v>86</v>
      </c>
      <c r="E471" s="1">
        <v>43004</v>
      </c>
      <c r="F471">
        <v>0</v>
      </c>
      <c r="G471" s="1">
        <v>43034</v>
      </c>
      <c r="H471" s="1">
        <v>43039</v>
      </c>
      <c r="I471" t="s">
        <v>15</v>
      </c>
      <c r="J471">
        <v>951.6</v>
      </c>
      <c r="K471">
        <v>171.6</v>
      </c>
      <c r="L471">
        <v>780</v>
      </c>
      <c r="M471">
        <v>-5</v>
      </c>
      <c r="N471" t="s">
        <v>136</v>
      </c>
    </row>
    <row r="472" spans="1:14" x14ac:dyDescent="0.25">
      <c r="A472" t="s">
        <v>135</v>
      </c>
      <c r="B472">
        <v>1917</v>
      </c>
      <c r="C472" s="1">
        <v>43033</v>
      </c>
      <c r="D472" t="str">
        <f>"90"</f>
        <v>90</v>
      </c>
      <c r="E472" s="1">
        <v>43005</v>
      </c>
      <c r="F472">
        <v>0</v>
      </c>
      <c r="G472" s="1">
        <v>43034</v>
      </c>
      <c r="H472" s="1">
        <v>43039</v>
      </c>
      <c r="I472" t="s">
        <v>15</v>
      </c>
      <c r="J472">
        <v>935.33</v>
      </c>
      <c r="K472">
        <v>168.67</v>
      </c>
      <c r="L472">
        <v>766.66</v>
      </c>
      <c r="M472">
        <v>-5</v>
      </c>
      <c r="N472" t="s">
        <v>136</v>
      </c>
    </row>
    <row r="473" spans="1:14" x14ac:dyDescent="0.25">
      <c r="A473" t="s">
        <v>135</v>
      </c>
      <c r="B473">
        <v>1919</v>
      </c>
      <c r="C473" s="1">
        <v>43033</v>
      </c>
      <c r="D473" t="str">
        <f>"85"</f>
        <v>85</v>
      </c>
      <c r="E473" s="1">
        <v>43004</v>
      </c>
      <c r="F473">
        <v>0</v>
      </c>
      <c r="G473" s="1">
        <v>43034</v>
      </c>
      <c r="H473" s="1">
        <v>43039</v>
      </c>
      <c r="I473" t="s">
        <v>15</v>
      </c>
      <c r="J473">
        <v>244</v>
      </c>
      <c r="K473">
        <v>44</v>
      </c>
      <c r="L473">
        <v>200</v>
      </c>
      <c r="M473">
        <v>-5</v>
      </c>
      <c r="N473" t="s">
        <v>136</v>
      </c>
    </row>
    <row r="474" spans="1:14" x14ac:dyDescent="0.25">
      <c r="A474" t="s">
        <v>40</v>
      </c>
      <c r="B474">
        <v>895</v>
      </c>
      <c r="C474" s="1">
        <v>42872</v>
      </c>
      <c r="D474" t="str">
        <f>"600004372409"</f>
        <v>600004372409</v>
      </c>
      <c r="E474" s="1">
        <v>42851</v>
      </c>
      <c r="F474">
        <v>0</v>
      </c>
      <c r="G474" s="1">
        <v>42873</v>
      </c>
      <c r="H474" s="1">
        <v>42879</v>
      </c>
      <c r="I474" t="s">
        <v>15</v>
      </c>
      <c r="J474">
        <v>23.21</v>
      </c>
      <c r="K474">
        <v>2.11</v>
      </c>
      <c r="L474">
        <v>21.1</v>
      </c>
      <c r="M474">
        <v>-6</v>
      </c>
      <c r="N474" t="s">
        <v>41</v>
      </c>
    </row>
    <row r="475" spans="1:14" x14ac:dyDescent="0.25">
      <c r="A475" t="s">
        <v>40</v>
      </c>
      <c r="B475">
        <v>888</v>
      </c>
      <c r="C475" s="1">
        <v>42872</v>
      </c>
      <c r="D475" t="str">
        <f>"600004372413"</f>
        <v>600004372413</v>
      </c>
      <c r="E475" s="1">
        <v>42851</v>
      </c>
      <c r="F475">
        <v>0</v>
      </c>
      <c r="G475" s="1">
        <v>42873</v>
      </c>
      <c r="H475" s="1">
        <v>42879</v>
      </c>
      <c r="I475" t="s">
        <v>15</v>
      </c>
      <c r="J475">
        <v>13.96</v>
      </c>
      <c r="K475">
        <v>1.27</v>
      </c>
      <c r="L475">
        <v>12.69</v>
      </c>
      <c r="M475">
        <v>-6</v>
      </c>
      <c r="N475" t="s">
        <v>41</v>
      </c>
    </row>
    <row r="476" spans="1:14" x14ac:dyDescent="0.25">
      <c r="A476" t="s">
        <v>40</v>
      </c>
      <c r="B476">
        <v>883</v>
      </c>
      <c r="C476" s="1">
        <v>42872</v>
      </c>
      <c r="D476" t="str">
        <f>"600004372414"</f>
        <v>600004372414</v>
      </c>
      <c r="E476" s="1">
        <v>42851</v>
      </c>
      <c r="F476">
        <v>0</v>
      </c>
      <c r="G476" s="1">
        <v>42873</v>
      </c>
      <c r="H476" s="1">
        <v>42879</v>
      </c>
      <c r="I476" t="s">
        <v>15</v>
      </c>
      <c r="J476">
        <v>23.21</v>
      </c>
      <c r="K476">
        <v>2.11</v>
      </c>
      <c r="L476">
        <v>21.1</v>
      </c>
      <c r="M476">
        <v>-6</v>
      </c>
      <c r="N476" t="s">
        <v>41</v>
      </c>
    </row>
    <row r="477" spans="1:14" x14ac:dyDescent="0.25">
      <c r="A477" t="s">
        <v>40</v>
      </c>
      <c r="B477">
        <v>889</v>
      </c>
      <c r="C477" s="1">
        <v>42872</v>
      </c>
      <c r="D477" t="str">
        <f>"600004372405"</f>
        <v>600004372405</v>
      </c>
      <c r="E477" s="1">
        <v>42851</v>
      </c>
      <c r="F477">
        <v>0</v>
      </c>
      <c r="G477" s="1">
        <v>42873</v>
      </c>
      <c r="H477" s="1">
        <v>42879</v>
      </c>
      <c r="I477" t="s">
        <v>15</v>
      </c>
      <c r="J477">
        <v>47.77</v>
      </c>
      <c r="K477">
        <v>4.1900000000000004</v>
      </c>
      <c r="L477">
        <v>43.58</v>
      </c>
      <c r="M477">
        <v>-6</v>
      </c>
      <c r="N477" t="s">
        <v>41</v>
      </c>
    </row>
    <row r="478" spans="1:14" x14ac:dyDescent="0.25">
      <c r="A478" t="s">
        <v>40</v>
      </c>
      <c r="B478">
        <v>897</v>
      </c>
      <c r="C478" s="1">
        <v>42872</v>
      </c>
      <c r="D478" t="str">
        <f>"600004372402"</f>
        <v>600004372402</v>
      </c>
      <c r="E478" s="1">
        <v>42851</v>
      </c>
      <c r="F478">
        <v>0</v>
      </c>
      <c r="G478" s="1">
        <v>42873</v>
      </c>
      <c r="H478" s="1">
        <v>42879</v>
      </c>
      <c r="I478" t="s">
        <v>15</v>
      </c>
      <c r="J478">
        <v>47.77</v>
      </c>
      <c r="K478">
        <v>4.1900000000000004</v>
      </c>
      <c r="L478">
        <v>43.58</v>
      </c>
      <c r="M478">
        <v>-6</v>
      </c>
      <c r="N478" t="s">
        <v>41</v>
      </c>
    </row>
    <row r="479" spans="1:14" x14ac:dyDescent="0.25">
      <c r="A479" t="s">
        <v>40</v>
      </c>
      <c r="B479">
        <v>905</v>
      </c>
      <c r="C479" s="1">
        <v>42872</v>
      </c>
      <c r="D479" t="str">
        <f>"600004372422"</f>
        <v>600004372422</v>
      </c>
      <c r="E479" s="1">
        <v>42851</v>
      </c>
      <c r="F479">
        <v>0</v>
      </c>
      <c r="G479" s="1">
        <v>42873</v>
      </c>
      <c r="H479" s="1">
        <v>42879</v>
      </c>
      <c r="I479" t="s">
        <v>15</v>
      </c>
      <c r="J479">
        <v>0.43</v>
      </c>
      <c r="K479">
        <v>0.43</v>
      </c>
      <c r="L479">
        <v>0</v>
      </c>
      <c r="M479">
        <v>-6</v>
      </c>
      <c r="N479" t="s">
        <v>41</v>
      </c>
    </row>
    <row r="480" spans="1:14" x14ac:dyDescent="0.25">
      <c r="A480" t="s">
        <v>40</v>
      </c>
      <c r="B480">
        <v>899</v>
      </c>
      <c r="C480" s="1">
        <v>42872</v>
      </c>
      <c r="D480" t="str">
        <f>"600004372421"</f>
        <v>600004372421</v>
      </c>
      <c r="E480" s="1">
        <v>42851</v>
      </c>
      <c r="F480">
        <v>0</v>
      </c>
      <c r="G480" s="1">
        <v>42873</v>
      </c>
      <c r="H480" s="1">
        <v>42879</v>
      </c>
      <c r="I480" t="s">
        <v>15</v>
      </c>
      <c r="J480">
        <v>0.61</v>
      </c>
      <c r="K480">
        <v>0.61</v>
      </c>
      <c r="L480">
        <v>0</v>
      </c>
      <c r="M480">
        <v>-6</v>
      </c>
      <c r="N480" t="s">
        <v>41</v>
      </c>
    </row>
    <row r="481" spans="1:14" x14ac:dyDescent="0.25">
      <c r="A481" t="s">
        <v>40</v>
      </c>
      <c r="B481">
        <v>890</v>
      </c>
      <c r="C481" s="1">
        <v>42872</v>
      </c>
      <c r="D481" t="str">
        <f>"600004372400"</f>
        <v>600004372400</v>
      </c>
      <c r="E481" s="1">
        <v>42851</v>
      </c>
      <c r="F481">
        <v>0</v>
      </c>
      <c r="G481" s="1">
        <v>42873</v>
      </c>
      <c r="H481" s="1">
        <v>42879</v>
      </c>
      <c r="I481" t="s">
        <v>15</v>
      </c>
      <c r="J481">
        <v>29.08</v>
      </c>
      <c r="K481">
        <v>2.4900000000000002</v>
      </c>
      <c r="L481">
        <v>26.59</v>
      </c>
      <c r="M481">
        <v>-6</v>
      </c>
      <c r="N481" t="s">
        <v>41</v>
      </c>
    </row>
    <row r="482" spans="1:14" x14ac:dyDescent="0.25">
      <c r="A482" t="s">
        <v>40</v>
      </c>
      <c r="B482">
        <v>900</v>
      </c>
      <c r="C482" s="1">
        <v>42872</v>
      </c>
      <c r="D482" t="str">
        <f>"600004372418"</f>
        <v>600004372418</v>
      </c>
      <c r="E482" s="1">
        <v>42851</v>
      </c>
      <c r="F482">
        <v>0</v>
      </c>
      <c r="G482" s="1">
        <v>42873</v>
      </c>
      <c r="H482" s="1">
        <v>42879</v>
      </c>
      <c r="I482" t="s">
        <v>15</v>
      </c>
      <c r="J482">
        <v>0.4</v>
      </c>
      <c r="K482">
        <v>0.4</v>
      </c>
      <c r="L482">
        <v>0</v>
      </c>
      <c r="M482">
        <v>-6</v>
      </c>
      <c r="N482" t="s">
        <v>41</v>
      </c>
    </row>
    <row r="483" spans="1:14" x14ac:dyDescent="0.25">
      <c r="A483" t="s">
        <v>40</v>
      </c>
      <c r="B483">
        <v>901</v>
      </c>
      <c r="C483" s="1">
        <v>42872</v>
      </c>
      <c r="D483" t="str">
        <f>"600004372424"</f>
        <v>600004372424</v>
      </c>
      <c r="E483" s="1">
        <v>42851</v>
      </c>
      <c r="F483">
        <v>0</v>
      </c>
      <c r="G483" s="1">
        <v>42873</v>
      </c>
      <c r="H483" s="1">
        <v>42879</v>
      </c>
      <c r="I483" t="s">
        <v>15</v>
      </c>
      <c r="J483">
        <v>13.96</v>
      </c>
      <c r="K483">
        <v>1.27</v>
      </c>
      <c r="L483">
        <v>12.69</v>
      </c>
      <c r="M483">
        <v>-6</v>
      </c>
      <c r="N483" t="s">
        <v>41</v>
      </c>
    </row>
    <row r="484" spans="1:14" x14ac:dyDescent="0.25">
      <c r="A484" t="s">
        <v>40</v>
      </c>
      <c r="B484">
        <v>892</v>
      </c>
      <c r="C484" s="1">
        <v>42872</v>
      </c>
      <c r="D484" t="str">
        <f>"600004372420"</f>
        <v>600004372420</v>
      </c>
      <c r="E484" s="1">
        <v>42851</v>
      </c>
      <c r="F484">
        <v>0</v>
      </c>
      <c r="G484" s="1">
        <v>42873</v>
      </c>
      <c r="H484" s="1">
        <v>42879</v>
      </c>
      <c r="I484" t="s">
        <v>15</v>
      </c>
      <c r="J484">
        <v>0.61</v>
      </c>
      <c r="K484">
        <v>0.61</v>
      </c>
      <c r="L484">
        <v>0</v>
      </c>
      <c r="M484">
        <v>-6</v>
      </c>
      <c r="N484" t="s">
        <v>41</v>
      </c>
    </row>
    <row r="485" spans="1:14" x14ac:dyDescent="0.25">
      <c r="A485" t="s">
        <v>40</v>
      </c>
      <c r="B485">
        <v>902</v>
      </c>
      <c r="C485" s="1">
        <v>42872</v>
      </c>
      <c r="D485" t="str">
        <f>"600004372419"</f>
        <v>600004372419</v>
      </c>
      <c r="E485" s="1">
        <v>42851</v>
      </c>
      <c r="F485">
        <v>0</v>
      </c>
      <c r="G485" s="1">
        <v>42873</v>
      </c>
      <c r="H485" s="1">
        <v>42879</v>
      </c>
      <c r="I485" t="s">
        <v>15</v>
      </c>
      <c r="J485">
        <v>0.35</v>
      </c>
      <c r="K485">
        <v>0.35</v>
      </c>
      <c r="L485">
        <v>0</v>
      </c>
      <c r="M485">
        <v>-6</v>
      </c>
      <c r="N485" t="s">
        <v>41</v>
      </c>
    </row>
    <row r="486" spans="1:14" x14ac:dyDescent="0.25">
      <c r="A486" t="s">
        <v>40</v>
      </c>
      <c r="B486">
        <v>885</v>
      </c>
      <c r="C486" s="1">
        <v>42872</v>
      </c>
      <c r="D486" t="str">
        <f>"600004372415"</f>
        <v>600004372415</v>
      </c>
      <c r="E486" s="1">
        <v>42851</v>
      </c>
      <c r="F486">
        <v>0</v>
      </c>
      <c r="G486" s="1">
        <v>42873</v>
      </c>
      <c r="H486" s="1">
        <v>42879</v>
      </c>
      <c r="I486" t="s">
        <v>15</v>
      </c>
      <c r="J486">
        <v>16.73</v>
      </c>
      <c r="K486">
        <v>1.37</v>
      </c>
      <c r="L486">
        <v>15.36</v>
      </c>
      <c r="M486">
        <v>-6</v>
      </c>
      <c r="N486" t="s">
        <v>41</v>
      </c>
    </row>
    <row r="487" spans="1:14" x14ac:dyDescent="0.25">
      <c r="A487" t="s">
        <v>40</v>
      </c>
      <c r="B487">
        <v>903</v>
      </c>
      <c r="C487" s="1">
        <v>42872</v>
      </c>
      <c r="D487" t="str">
        <f>"600004372426"</f>
        <v>600004372426</v>
      </c>
      <c r="E487" s="1">
        <v>42851</v>
      </c>
      <c r="F487">
        <v>0</v>
      </c>
      <c r="G487" s="1">
        <v>42873</v>
      </c>
      <c r="H487" s="1">
        <v>42879</v>
      </c>
      <c r="I487" t="s">
        <v>15</v>
      </c>
      <c r="J487">
        <v>34.31</v>
      </c>
      <c r="K487">
        <v>3.12</v>
      </c>
      <c r="L487">
        <v>31.19</v>
      </c>
      <c r="M487">
        <v>-6</v>
      </c>
      <c r="N487" t="s">
        <v>41</v>
      </c>
    </row>
    <row r="488" spans="1:14" x14ac:dyDescent="0.25">
      <c r="A488" t="s">
        <v>40</v>
      </c>
      <c r="B488">
        <v>896</v>
      </c>
      <c r="C488" s="1">
        <v>42872</v>
      </c>
      <c r="D488" t="str">
        <f>"600004372401"</f>
        <v>600004372401</v>
      </c>
      <c r="E488" s="1">
        <v>42851</v>
      </c>
      <c r="F488">
        <v>0</v>
      </c>
      <c r="G488" s="1">
        <v>42873</v>
      </c>
      <c r="H488" s="1">
        <v>42879</v>
      </c>
      <c r="I488" t="s">
        <v>15</v>
      </c>
      <c r="J488">
        <v>78.83</v>
      </c>
      <c r="K488">
        <v>7.02</v>
      </c>
      <c r="L488">
        <v>71.81</v>
      </c>
      <c r="M488">
        <v>-6</v>
      </c>
      <c r="N488" t="s">
        <v>41</v>
      </c>
    </row>
    <row r="489" spans="1:14" x14ac:dyDescent="0.25">
      <c r="A489" t="s">
        <v>40</v>
      </c>
      <c r="B489">
        <v>884</v>
      </c>
      <c r="C489" s="1">
        <v>42872</v>
      </c>
      <c r="D489" t="str">
        <f>"600004372416"</f>
        <v>600004372416</v>
      </c>
      <c r="E489" s="1">
        <v>42851</v>
      </c>
      <c r="F489">
        <v>0</v>
      </c>
      <c r="G489" s="1">
        <v>42873</v>
      </c>
      <c r="H489" s="1">
        <v>42879</v>
      </c>
      <c r="I489" t="s">
        <v>15</v>
      </c>
      <c r="J489">
        <v>23.21</v>
      </c>
      <c r="K489">
        <v>2.11</v>
      </c>
      <c r="L489">
        <v>21.1</v>
      </c>
      <c r="M489">
        <v>-6</v>
      </c>
      <c r="N489" t="s">
        <v>41</v>
      </c>
    </row>
    <row r="490" spans="1:14" x14ac:dyDescent="0.25">
      <c r="A490" t="s">
        <v>40</v>
      </c>
      <c r="B490">
        <v>886</v>
      </c>
      <c r="C490" s="1">
        <v>42872</v>
      </c>
      <c r="D490" t="str">
        <f>"600004372410"</f>
        <v>600004372410</v>
      </c>
      <c r="E490" s="1">
        <v>42851</v>
      </c>
      <c r="F490">
        <v>0</v>
      </c>
      <c r="G490" s="1">
        <v>42873</v>
      </c>
      <c r="H490" s="1">
        <v>42879</v>
      </c>
      <c r="I490" t="s">
        <v>15</v>
      </c>
      <c r="J490">
        <v>103.35</v>
      </c>
      <c r="K490">
        <v>9.25</v>
      </c>
      <c r="L490">
        <v>94.1</v>
      </c>
      <c r="M490">
        <v>-6</v>
      </c>
      <c r="N490" t="s">
        <v>41</v>
      </c>
    </row>
    <row r="491" spans="1:14" x14ac:dyDescent="0.25">
      <c r="A491" t="s">
        <v>40</v>
      </c>
      <c r="B491">
        <v>906</v>
      </c>
      <c r="C491" s="1">
        <v>42872</v>
      </c>
      <c r="D491" t="str">
        <f>"600004372406"</f>
        <v>600004372406</v>
      </c>
      <c r="E491" s="1">
        <v>42851</v>
      </c>
      <c r="F491">
        <v>0</v>
      </c>
      <c r="G491" s="1">
        <v>42873</v>
      </c>
      <c r="H491" s="1">
        <v>42879</v>
      </c>
      <c r="I491" t="s">
        <v>15</v>
      </c>
      <c r="J491">
        <v>0.44</v>
      </c>
      <c r="K491">
        <v>0.44</v>
      </c>
      <c r="L491">
        <v>0</v>
      </c>
      <c r="M491">
        <v>-6</v>
      </c>
      <c r="N491" t="s">
        <v>41</v>
      </c>
    </row>
    <row r="492" spans="1:14" x14ac:dyDescent="0.25">
      <c r="A492" t="s">
        <v>40</v>
      </c>
      <c r="B492">
        <v>904</v>
      </c>
      <c r="C492" s="1">
        <v>42872</v>
      </c>
      <c r="D492" t="str">
        <f>"600004372408"</f>
        <v>600004372408</v>
      </c>
      <c r="E492" s="1">
        <v>42851</v>
      </c>
      <c r="F492">
        <v>0</v>
      </c>
      <c r="G492" s="1">
        <v>42873</v>
      </c>
      <c r="H492" s="1">
        <v>42879</v>
      </c>
      <c r="I492" t="s">
        <v>15</v>
      </c>
      <c r="J492">
        <v>0.52</v>
      </c>
      <c r="K492">
        <v>0.52</v>
      </c>
      <c r="L492">
        <v>0</v>
      </c>
      <c r="M492">
        <v>-6</v>
      </c>
      <c r="N492" t="s">
        <v>41</v>
      </c>
    </row>
    <row r="493" spans="1:14" x14ac:dyDescent="0.25">
      <c r="A493" t="s">
        <v>40</v>
      </c>
      <c r="B493">
        <v>894</v>
      </c>
      <c r="C493" s="1">
        <v>42872</v>
      </c>
      <c r="D493" t="str">
        <f>"600004372411"</f>
        <v>600004372411</v>
      </c>
      <c r="E493" s="1">
        <v>42851</v>
      </c>
      <c r="F493">
        <v>0</v>
      </c>
      <c r="G493" s="1">
        <v>42873</v>
      </c>
      <c r="H493" s="1">
        <v>42879</v>
      </c>
      <c r="I493" t="s">
        <v>15</v>
      </c>
      <c r="J493">
        <v>95.17</v>
      </c>
      <c r="K493">
        <v>8.5</v>
      </c>
      <c r="L493">
        <v>86.67</v>
      </c>
      <c r="M493">
        <v>-6</v>
      </c>
      <c r="N493" t="s">
        <v>41</v>
      </c>
    </row>
    <row r="494" spans="1:14" x14ac:dyDescent="0.25">
      <c r="A494" t="s">
        <v>40</v>
      </c>
      <c r="B494">
        <v>891</v>
      </c>
      <c r="C494" s="1">
        <v>42872</v>
      </c>
      <c r="D494" t="str">
        <f>"600004372423"</f>
        <v>600004372423</v>
      </c>
      <c r="E494" s="1">
        <v>42851</v>
      </c>
      <c r="F494">
        <v>0</v>
      </c>
      <c r="G494" s="1">
        <v>42873</v>
      </c>
      <c r="H494" s="1">
        <v>42879</v>
      </c>
      <c r="I494" t="s">
        <v>15</v>
      </c>
      <c r="J494">
        <v>0.35</v>
      </c>
      <c r="K494">
        <v>0.35</v>
      </c>
      <c r="L494">
        <v>0</v>
      </c>
      <c r="M494">
        <v>-6</v>
      </c>
      <c r="N494" t="s">
        <v>41</v>
      </c>
    </row>
    <row r="495" spans="1:14" x14ac:dyDescent="0.25">
      <c r="A495" t="s">
        <v>40</v>
      </c>
      <c r="B495">
        <v>887</v>
      </c>
      <c r="C495" s="1">
        <v>42872</v>
      </c>
      <c r="D495" t="str">
        <f>"600004372417"</f>
        <v>600004372417</v>
      </c>
      <c r="E495" s="1">
        <v>42851</v>
      </c>
      <c r="F495">
        <v>0</v>
      </c>
      <c r="G495" s="1">
        <v>42873</v>
      </c>
      <c r="H495" s="1">
        <v>42879</v>
      </c>
      <c r="I495" t="s">
        <v>15</v>
      </c>
      <c r="J495">
        <v>18.350000000000001</v>
      </c>
      <c r="K495">
        <v>1.52</v>
      </c>
      <c r="L495">
        <v>16.829999999999998</v>
      </c>
      <c r="M495">
        <v>-6</v>
      </c>
      <c r="N495" t="s">
        <v>41</v>
      </c>
    </row>
    <row r="496" spans="1:14" x14ac:dyDescent="0.25">
      <c r="A496" t="s">
        <v>40</v>
      </c>
      <c r="B496">
        <v>893</v>
      </c>
      <c r="C496" s="1">
        <v>42872</v>
      </c>
      <c r="D496" t="str">
        <f>"600004372407"</f>
        <v>600004372407</v>
      </c>
      <c r="E496" s="1">
        <v>42851</v>
      </c>
      <c r="F496">
        <v>0</v>
      </c>
      <c r="G496" s="1">
        <v>42873</v>
      </c>
      <c r="H496" s="1">
        <v>42879</v>
      </c>
      <c r="I496" t="s">
        <v>15</v>
      </c>
      <c r="J496">
        <v>0.35</v>
      </c>
      <c r="K496">
        <v>0.35</v>
      </c>
      <c r="L496">
        <v>0</v>
      </c>
      <c r="M496">
        <v>-6</v>
      </c>
      <c r="N496" t="s">
        <v>41</v>
      </c>
    </row>
    <row r="497" spans="1:14" x14ac:dyDescent="0.25">
      <c r="A497" t="s">
        <v>40</v>
      </c>
      <c r="B497">
        <v>898</v>
      </c>
      <c r="C497" s="1">
        <v>42872</v>
      </c>
      <c r="D497" t="str">
        <f>"600004372403"</f>
        <v>600004372403</v>
      </c>
      <c r="E497" s="1">
        <v>42851</v>
      </c>
      <c r="F497">
        <v>0</v>
      </c>
      <c r="G497" s="1">
        <v>42873</v>
      </c>
      <c r="H497" s="1">
        <v>42879</v>
      </c>
      <c r="I497" t="s">
        <v>15</v>
      </c>
      <c r="J497">
        <v>90.29</v>
      </c>
      <c r="K497">
        <v>8.06</v>
      </c>
      <c r="L497">
        <v>82.23</v>
      </c>
      <c r="M497">
        <v>-6</v>
      </c>
      <c r="N497" t="s">
        <v>41</v>
      </c>
    </row>
    <row r="498" spans="1:14" x14ac:dyDescent="0.25">
      <c r="A498" t="s">
        <v>40</v>
      </c>
      <c r="B498">
        <v>909</v>
      </c>
      <c r="C498" s="1">
        <v>42872</v>
      </c>
      <c r="D498" t="str">
        <f>"600004372425"</f>
        <v>600004372425</v>
      </c>
      <c r="E498" s="1">
        <v>42851</v>
      </c>
      <c r="F498">
        <v>0</v>
      </c>
      <c r="G498" s="1">
        <v>42873</v>
      </c>
      <c r="H498" s="1">
        <v>42879</v>
      </c>
      <c r="I498" t="s">
        <v>15</v>
      </c>
      <c r="J498">
        <v>0.4</v>
      </c>
      <c r="K498">
        <v>0.4</v>
      </c>
      <c r="L498">
        <v>0</v>
      </c>
      <c r="M498">
        <v>-6</v>
      </c>
      <c r="N498" t="s">
        <v>41</v>
      </c>
    </row>
    <row r="499" spans="1:14" x14ac:dyDescent="0.25">
      <c r="A499" t="s">
        <v>40</v>
      </c>
      <c r="B499">
        <v>908</v>
      </c>
      <c r="C499" s="1">
        <v>42872</v>
      </c>
      <c r="D499" t="str">
        <f>"600004372404"</f>
        <v>600004372404</v>
      </c>
      <c r="E499" s="1">
        <v>42851</v>
      </c>
      <c r="F499">
        <v>0</v>
      </c>
      <c r="G499" s="1">
        <v>42873</v>
      </c>
      <c r="H499" s="1">
        <v>42879</v>
      </c>
      <c r="I499" t="s">
        <v>15</v>
      </c>
      <c r="J499">
        <v>19.97</v>
      </c>
      <c r="K499">
        <v>1.67</v>
      </c>
      <c r="L499">
        <v>18.3</v>
      </c>
      <c r="M499">
        <v>-6</v>
      </c>
      <c r="N499" t="s">
        <v>41</v>
      </c>
    </row>
    <row r="500" spans="1:14" x14ac:dyDescent="0.25">
      <c r="A500" t="s">
        <v>40</v>
      </c>
      <c r="B500">
        <v>907</v>
      </c>
      <c r="C500" s="1">
        <v>42872</v>
      </c>
      <c r="D500" t="str">
        <f>"600004372412"</f>
        <v>600004372412</v>
      </c>
      <c r="E500" s="1">
        <v>42851</v>
      </c>
      <c r="F500">
        <v>0</v>
      </c>
      <c r="G500" s="1">
        <v>42873</v>
      </c>
      <c r="H500" s="1">
        <v>42879</v>
      </c>
      <c r="I500" t="s">
        <v>15</v>
      </c>
      <c r="J500">
        <v>21.71</v>
      </c>
      <c r="K500">
        <v>1.82</v>
      </c>
      <c r="L500">
        <v>19.89</v>
      </c>
      <c r="M500">
        <v>-6</v>
      </c>
      <c r="N500" t="s">
        <v>41</v>
      </c>
    </row>
    <row r="501" spans="1:14" x14ac:dyDescent="0.25">
      <c r="A501" t="s">
        <v>286</v>
      </c>
      <c r="B501">
        <v>343</v>
      </c>
      <c r="C501" s="1">
        <v>42789</v>
      </c>
      <c r="D501" t="str">
        <f>"4"</f>
        <v>4</v>
      </c>
      <c r="E501" s="1">
        <v>42768</v>
      </c>
      <c r="F501">
        <v>0</v>
      </c>
      <c r="G501" s="1">
        <v>42790</v>
      </c>
      <c r="H501" s="1">
        <v>42796</v>
      </c>
      <c r="I501" t="s">
        <v>15</v>
      </c>
      <c r="J501" s="2">
        <v>1211.46</v>
      </c>
      <c r="K501">
        <v>218.46</v>
      </c>
      <c r="L501">
        <v>993</v>
      </c>
      <c r="M501">
        <v>-6</v>
      </c>
      <c r="N501" t="s">
        <v>30</v>
      </c>
    </row>
    <row r="502" spans="1:14" x14ac:dyDescent="0.25">
      <c r="A502" t="s">
        <v>17</v>
      </c>
      <c r="B502">
        <v>1715</v>
      </c>
      <c r="C502" s="1">
        <v>43005</v>
      </c>
      <c r="D502" t="str">
        <f>"11014"</f>
        <v>11014</v>
      </c>
      <c r="E502" s="1">
        <v>42978</v>
      </c>
      <c r="F502">
        <v>0</v>
      </c>
      <c r="G502" s="1">
        <v>43010</v>
      </c>
      <c r="H502" s="1">
        <v>43016</v>
      </c>
      <c r="I502" t="s">
        <v>15</v>
      </c>
      <c r="J502">
        <v>60.39</v>
      </c>
      <c r="K502">
        <v>10.89</v>
      </c>
      <c r="L502">
        <v>49.5</v>
      </c>
      <c r="M502">
        <v>-6</v>
      </c>
      <c r="N502" t="s">
        <v>18</v>
      </c>
    </row>
    <row r="503" spans="1:14" x14ac:dyDescent="0.25">
      <c r="A503" t="s">
        <v>49</v>
      </c>
      <c r="B503">
        <v>2212</v>
      </c>
      <c r="C503" s="1">
        <v>43075</v>
      </c>
      <c r="D503" t="s">
        <v>294</v>
      </c>
      <c r="E503" s="1">
        <v>43061</v>
      </c>
      <c r="F503">
        <v>0</v>
      </c>
      <c r="G503" s="1">
        <v>43075</v>
      </c>
      <c r="H503" s="1">
        <v>43081</v>
      </c>
      <c r="I503" t="s">
        <v>15</v>
      </c>
      <c r="J503">
        <v>830</v>
      </c>
      <c r="K503">
        <v>136.81</v>
      </c>
      <c r="L503">
        <v>693.19</v>
      </c>
      <c r="M503">
        <v>-6</v>
      </c>
      <c r="N503" t="s">
        <v>20</v>
      </c>
    </row>
    <row r="504" spans="1:14" x14ac:dyDescent="0.25">
      <c r="A504" t="s">
        <v>49</v>
      </c>
      <c r="B504">
        <v>2209</v>
      </c>
      <c r="C504" s="1">
        <v>43075</v>
      </c>
      <c r="D504" t="s">
        <v>294</v>
      </c>
      <c r="E504" s="1">
        <v>43061</v>
      </c>
      <c r="F504">
        <v>0</v>
      </c>
      <c r="G504" s="1">
        <v>43075</v>
      </c>
      <c r="H504" s="1">
        <v>43081</v>
      </c>
      <c r="I504" t="s">
        <v>15</v>
      </c>
      <c r="J504" s="2">
        <v>1402.75</v>
      </c>
      <c r="K504">
        <v>231.22</v>
      </c>
      <c r="L504" s="2">
        <v>1171.53</v>
      </c>
      <c r="M504">
        <v>-6</v>
      </c>
      <c r="N504" t="s">
        <v>20</v>
      </c>
    </row>
    <row r="505" spans="1:14" x14ac:dyDescent="0.25">
      <c r="A505" t="s">
        <v>49</v>
      </c>
      <c r="B505">
        <v>2213</v>
      </c>
      <c r="C505" s="1">
        <v>43075</v>
      </c>
      <c r="D505" t="s">
        <v>294</v>
      </c>
      <c r="E505" s="1">
        <v>43061</v>
      </c>
      <c r="F505">
        <v>0</v>
      </c>
      <c r="G505" s="1">
        <v>43075</v>
      </c>
      <c r="H505" s="1">
        <v>43081</v>
      </c>
      <c r="I505" t="s">
        <v>15</v>
      </c>
      <c r="J505">
        <v>180</v>
      </c>
      <c r="K505">
        <v>29.67</v>
      </c>
      <c r="L505">
        <v>150.33000000000001</v>
      </c>
      <c r="M505">
        <v>-6</v>
      </c>
      <c r="N505" t="s">
        <v>20</v>
      </c>
    </row>
    <row r="506" spans="1:14" x14ac:dyDescent="0.25">
      <c r="A506" t="s">
        <v>49</v>
      </c>
      <c r="B506">
        <v>2210</v>
      </c>
      <c r="C506" s="1">
        <v>43075</v>
      </c>
      <c r="D506" t="s">
        <v>294</v>
      </c>
      <c r="E506" s="1">
        <v>43061</v>
      </c>
      <c r="F506">
        <v>0</v>
      </c>
      <c r="G506" s="1">
        <v>43075</v>
      </c>
      <c r="H506" s="1">
        <v>43081</v>
      </c>
      <c r="I506" t="s">
        <v>15</v>
      </c>
      <c r="J506">
        <v>150</v>
      </c>
      <c r="K506">
        <v>24.73</v>
      </c>
      <c r="L506">
        <v>125.27</v>
      </c>
      <c r="M506">
        <v>-6</v>
      </c>
      <c r="N506" t="s">
        <v>20</v>
      </c>
    </row>
    <row r="507" spans="1:14" x14ac:dyDescent="0.25">
      <c r="A507" t="s">
        <v>49</v>
      </c>
      <c r="B507">
        <v>2211</v>
      </c>
      <c r="C507" s="1">
        <v>43075</v>
      </c>
      <c r="D507" t="s">
        <v>294</v>
      </c>
      <c r="E507" s="1">
        <v>43061</v>
      </c>
      <c r="F507">
        <v>0</v>
      </c>
      <c r="G507" s="1">
        <v>43075</v>
      </c>
      <c r="H507" s="1">
        <v>43081</v>
      </c>
      <c r="I507" t="s">
        <v>15</v>
      </c>
      <c r="J507">
        <v>788.12</v>
      </c>
      <c r="K507">
        <v>129.91</v>
      </c>
      <c r="L507">
        <v>658.21</v>
      </c>
      <c r="M507">
        <v>-6</v>
      </c>
      <c r="N507" t="s">
        <v>20</v>
      </c>
    </row>
    <row r="508" spans="1:14" x14ac:dyDescent="0.25">
      <c r="A508" t="s">
        <v>83</v>
      </c>
      <c r="B508">
        <v>760</v>
      </c>
      <c r="C508" s="1">
        <v>42849</v>
      </c>
      <c r="D508" t="s">
        <v>295</v>
      </c>
      <c r="E508" s="1">
        <v>42825</v>
      </c>
      <c r="F508">
        <v>0</v>
      </c>
      <c r="G508" s="1">
        <v>42849</v>
      </c>
      <c r="H508" s="1">
        <v>42855</v>
      </c>
      <c r="I508" t="s">
        <v>15</v>
      </c>
      <c r="J508" s="2">
        <v>9935.07</v>
      </c>
      <c r="K508">
        <v>903.19</v>
      </c>
      <c r="L508" s="2">
        <v>9031.8799999999992</v>
      </c>
      <c r="M508">
        <v>-6</v>
      </c>
      <c r="N508" t="s">
        <v>141</v>
      </c>
    </row>
    <row r="509" spans="1:14" x14ac:dyDescent="0.25">
      <c r="A509" t="s">
        <v>25</v>
      </c>
      <c r="B509">
        <v>1742</v>
      </c>
      <c r="C509" s="1">
        <v>43005</v>
      </c>
      <c r="D509" t="s">
        <v>296</v>
      </c>
      <c r="E509" s="1">
        <v>42986</v>
      </c>
      <c r="F509">
        <v>0</v>
      </c>
      <c r="G509" s="1">
        <v>43010</v>
      </c>
      <c r="H509" s="1">
        <v>43016</v>
      </c>
      <c r="I509" t="s">
        <v>15</v>
      </c>
      <c r="J509" s="2">
        <v>5000</v>
      </c>
      <c r="K509">
        <v>901.64</v>
      </c>
      <c r="L509" s="2">
        <v>4098.3599999999997</v>
      </c>
      <c r="M509">
        <v>-6</v>
      </c>
      <c r="N509" t="s">
        <v>27</v>
      </c>
    </row>
    <row r="510" spans="1:14" x14ac:dyDescent="0.25">
      <c r="A510" t="s">
        <v>25</v>
      </c>
      <c r="B510">
        <v>1738</v>
      </c>
      <c r="C510" s="1">
        <v>43005</v>
      </c>
      <c r="D510" t="s">
        <v>296</v>
      </c>
      <c r="E510" s="1">
        <v>42986</v>
      </c>
      <c r="F510">
        <v>0</v>
      </c>
      <c r="G510" s="1">
        <v>43010</v>
      </c>
      <c r="H510" s="1">
        <v>43016</v>
      </c>
      <c r="I510" t="s">
        <v>15</v>
      </c>
      <c r="J510">
        <v>568.4</v>
      </c>
      <c r="K510">
        <v>102.5</v>
      </c>
      <c r="L510">
        <v>465.9</v>
      </c>
      <c r="M510">
        <v>-6</v>
      </c>
      <c r="N510" t="s">
        <v>27</v>
      </c>
    </row>
    <row r="511" spans="1:14" x14ac:dyDescent="0.25">
      <c r="A511" t="s">
        <v>25</v>
      </c>
      <c r="B511">
        <v>1739</v>
      </c>
      <c r="C511" s="1">
        <v>43005</v>
      </c>
      <c r="D511" t="s">
        <v>296</v>
      </c>
      <c r="E511" s="1">
        <v>42986</v>
      </c>
      <c r="F511">
        <v>0</v>
      </c>
      <c r="G511" s="1">
        <v>43010</v>
      </c>
      <c r="H511" s="1">
        <v>43016</v>
      </c>
      <c r="I511" t="s">
        <v>15</v>
      </c>
      <c r="J511" s="2">
        <v>6000</v>
      </c>
      <c r="K511" s="2">
        <v>1081.97</v>
      </c>
      <c r="L511" s="2">
        <v>4918.03</v>
      </c>
      <c r="M511">
        <v>-6</v>
      </c>
      <c r="N511" t="s">
        <v>27</v>
      </c>
    </row>
    <row r="512" spans="1:14" x14ac:dyDescent="0.25">
      <c r="A512" t="s">
        <v>25</v>
      </c>
      <c r="B512">
        <v>1740</v>
      </c>
      <c r="C512" s="1">
        <v>43005</v>
      </c>
      <c r="D512" t="s">
        <v>296</v>
      </c>
      <c r="E512" s="1">
        <v>42986</v>
      </c>
      <c r="F512">
        <v>0</v>
      </c>
      <c r="G512" s="1">
        <v>43010</v>
      </c>
      <c r="H512" s="1">
        <v>43016</v>
      </c>
      <c r="I512" t="s">
        <v>15</v>
      </c>
      <c r="J512" s="2">
        <v>3000</v>
      </c>
      <c r="K512">
        <v>540.98</v>
      </c>
      <c r="L512" s="2">
        <v>2459.02</v>
      </c>
      <c r="M512">
        <v>-6</v>
      </c>
      <c r="N512" t="s">
        <v>27</v>
      </c>
    </row>
    <row r="513" spans="1:14" x14ac:dyDescent="0.25">
      <c r="A513" t="s">
        <v>25</v>
      </c>
      <c r="B513">
        <v>1741</v>
      </c>
      <c r="C513" s="1">
        <v>43005</v>
      </c>
      <c r="D513" t="s">
        <v>296</v>
      </c>
      <c r="E513" s="1">
        <v>42986</v>
      </c>
      <c r="F513">
        <v>0</v>
      </c>
      <c r="G513" s="1">
        <v>43010</v>
      </c>
      <c r="H513" s="1">
        <v>43016</v>
      </c>
      <c r="I513" t="s">
        <v>15</v>
      </c>
      <c r="J513" s="2">
        <v>4000</v>
      </c>
      <c r="K513">
        <v>721.31</v>
      </c>
      <c r="L513" s="2">
        <v>3278.69</v>
      </c>
      <c r="M513">
        <v>-6</v>
      </c>
      <c r="N513" t="s">
        <v>27</v>
      </c>
    </row>
    <row r="514" spans="1:14" x14ac:dyDescent="0.25">
      <c r="A514" t="s">
        <v>64</v>
      </c>
      <c r="B514">
        <v>2314</v>
      </c>
      <c r="C514" s="1">
        <v>43081</v>
      </c>
      <c r="D514" t="s">
        <v>297</v>
      </c>
      <c r="E514" s="1">
        <v>43067</v>
      </c>
      <c r="F514">
        <v>0</v>
      </c>
      <c r="G514" s="1">
        <v>43081</v>
      </c>
      <c r="H514" s="1">
        <v>43087</v>
      </c>
      <c r="I514" t="s">
        <v>15</v>
      </c>
      <c r="J514">
        <v>2.34</v>
      </c>
      <c r="K514">
        <v>0.42</v>
      </c>
      <c r="L514">
        <v>1.92</v>
      </c>
      <c r="M514">
        <v>-6</v>
      </c>
      <c r="N514" t="s">
        <v>66</v>
      </c>
    </row>
    <row r="515" spans="1:14" x14ac:dyDescent="0.25">
      <c r="A515" t="s">
        <v>64</v>
      </c>
      <c r="B515">
        <v>1324</v>
      </c>
      <c r="C515" s="1">
        <v>42934</v>
      </c>
      <c r="D515" t="s">
        <v>298</v>
      </c>
      <c r="E515" s="1">
        <v>42920</v>
      </c>
      <c r="F515">
        <v>0</v>
      </c>
      <c r="G515" s="1">
        <v>42934</v>
      </c>
      <c r="H515" s="1">
        <v>42940</v>
      </c>
      <c r="I515" t="s">
        <v>15</v>
      </c>
      <c r="J515">
        <v>88.21</v>
      </c>
      <c r="K515">
        <v>15.91</v>
      </c>
      <c r="L515">
        <v>72.3</v>
      </c>
      <c r="M515">
        <v>-6</v>
      </c>
      <c r="N515" t="s">
        <v>66</v>
      </c>
    </row>
    <row r="516" spans="1:14" x14ac:dyDescent="0.25">
      <c r="A516" t="s">
        <v>64</v>
      </c>
      <c r="B516">
        <v>2303</v>
      </c>
      <c r="C516" s="1">
        <v>43081</v>
      </c>
      <c r="D516" t="s">
        <v>299</v>
      </c>
      <c r="E516" s="1">
        <v>43067</v>
      </c>
      <c r="F516">
        <v>0</v>
      </c>
      <c r="G516" s="1">
        <v>43081</v>
      </c>
      <c r="H516" s="1">
        <v>43087</v>
      </c>
      <c r="I516" t="s">
        <v>15</v>
      </c>
      <c r="J516">
        <v>151.6</v>
      </c>
      <c r="K516">
        <v>24.9</v>
      </c>
      <c r="L516">
        <v>126.7</v>
      </c>
      <c r="M516">
        <v>-6</v>
      </c>
      <c r="N516" t="s">
        <v>66</v>
      </c>
    </row>
    <row r="517" spans="1:14" x14ac:dyDescent="0.25">
      <c r="A517" t="s">
        <v>64</v>
      </c>
      <c r="B517">
        <v>1323</v>
      </c>
      <c r="C517" s="1">
        <v>42934</v>
      </c>
      <c r="D517" t="s">
        <v>300</v>
      </c>
      <c r="E517" s="1">
        <v>42920</v>
      </c>
      <c r="F517">
        <v>0</v>
      </c>
      <c r="G517" s="1">
        <v>42934</v>
      </c>
      <c r="H517" s="1">
        <v>42940</v>
      </c>
      <c r="I517" t="s">
        <v>15</v>
      </c>
      <c r="J517">
        <v>4.45</v>
      </c>
      <c r="K517">
        <v>0.8</v>
      </c>
      <c r="L517">
        <v>3.65</v>
      </c>
      <c r="M517">
        <v>-6</v>
      </c>
      <c r="N517" t="s">
        <v>66</v>
      </c>
    </row>
    <row r="518" spans="1:14" x14ac:dyDescent="0.25">
      <c r="A518" t="s">
        <v>64</v>
      </c>
      <c r="B518">
        <v>2305</v>
      </c>
      <c r="C518" s="1">
        <v>43081</v>
      </c>
      <c r="D518" t="s">
        <v>301</v>
      </c>
      <c r="E518" s="1">
        <v>43067</v>
      </c>
      <c r="F518">
        <v>0</v>
      </c>
      <c r="G518" s="1">
        <v>43081</v>
      </c>
      <c r="H518" s="1">
        <v>43087</v>
      </c>
      <c r="I518" t="s">
        <v>15</v>
      </c>
      <c r="J518">
        <v>95.05</v>
      </c>
      <c r="K518">
        <v>17.14</v>
      </c>
      <c r="L518">
        <v>77.91</v>
      </c>
      <c r="M518">
        <v>-6</v>
      </c>
      <c r="N518" t="s">
        <v>66</v>
      </c>
    </row>
    <row r="519" spans="1:14" x14ac:dyDescent="0.25">
      <c r="A519" t="s">
        <v>64</v>
      </c>
      <c r="B519">
        <v>1322</v>
      </c>
      <c r="C519" s="1">
        <v>42934</v>
      </c>
      <c r="D519" t="s">
        <v>302</v>
      </c>
      <c r="E519" s="1">
        <v>42920</v>
      </c>
      <c r="F519">
        <v>0</v>
      </c>
      <c r="G519" s="1">
        <v>42934</v>
      </c>
      <c r="H519" s="1">
        <v>42940</v>
      </c>
      <c r="I519" t="s">
        <v>15</v>
      </c>
      <c r="J519">
        <v>34.86</v>
      </c>
      <c r="K519">
        <v>6.29</v>
      </c>
      <c r="L519">
        <v>28.57</v>
      </c>
      <c r="M519">
        <v>-6</v>
      </c>
      <c r="N519" t="s">
        <v>66</v>
      </c>
    </row>
    <row r="520" spans="1:14" x14ac:dyDescent="0.25">
      <c r="A520" t="s">
        <v>64</v>
      </c>
      <c r="B520">
        <v>2307</v>
      </c>
      <c r="C520" s="1">
        <v>43081</v>
      </c>
      <c r="D520" t="s">
        <v>303</v>
      </c>
      <c r="E520" s="1">
        <v>43067</v>
      </c>
      <c r="F520">
        <v>0</v>
      </c>
      <c r="G520" s="1">
        <v>43081</v>
      </c>
      <c r="H520" s="1">
        <v>43087</v>
      </c>
      <c r="I520" t="s">
        <v>15</v>
      </c>
      <c r="J520">
        <v>66.599999999999994</v>
      </c>
      <c r="K520">
        <v>12.01</v>
      </c>
      <c r="L520">
        <v>54.59</v>
      </c>
      <c r="M520">
        <v>-6</v>
      </c>
      <c r="N520" t="s">
        <v>66</v>
      </c>
    </row>
    <row r="521" spans="1:14" x14ac:dyDescent="0.25">
      <c r="A521" t="s">
        <v>64</v>
      </c>
      <c r="B521">
        <v>2304</v>
      </c>
      <c r="C521" s="1">
        <v>43081</v>
      </c>
      <c r="D521" t="s">
        <v>304</v>
      </c>
      <c r="E521" s="1">
        <v>43067</v>
      </c>
      <c r="F521">
        <v>0</v>
      </c>
      <c r="G521" s="1">
        <v>43081</v>
      </c>
      <c r="H521" s="1">
        <v>43087</v>
      </c>
      <c r="I521" t="s">
        <v>15</v>
      </c>
      <c r="J521">
        <v>2.34</v>
      </c>
      <c r="K521">
        <v>0.42</v>
      </c>
      <c r="L521">
        <v>1.92</v>
      </c>
      <c r="M521">
        <v>-6</v>
      </c>
      <c r="N521" t="s">
        <v>66</v>
      </c>
    </row>
    <row r="522" spans="1:14" x14ac:dyDescent="0.25">
      <c r="A522" t="s">
        <v>64</v>
      </c>
      <c r="B522">
        <v>1331</v>
      </c>
      <c r="C522" s="1">
        <v>42934</v>
      </c>
      <c r="D522" t="s">
        <v>305</v>
      </c>
      <c r="E522" s="1">
        <v>42920</v>
      </c>
      <c r="F522">
        <v>0</v>
      </c>
      <c r="G522" s="1">
        <v>42934</v>
      </c>
      <c r="H522" s="1">
        <v>42940</v>
      </c>
      <c r="I522" t="s">
        <v>15</v>
      </c>
      <c r="J522">
        <v>4.45</v>
      </c>
      <c r="K522">
        <v>0.8</v>
      </c>
      <c r="L522">
        <v>3.65</v>
      </c>
      <c r="M522">
        <v>-6</v>
      </c>
      <c r="N522" t="s">
        <v>66</v>
      </c>
    </row>
    <row r="523" spans="1:14" x14ac:dyDescent="0.25">
      <c r="A523" t="s">
        <v>64</v>
      </c>
      <c r="B523">
        <v>1321</v>
      </c>
      <c r="C523" s="1">
        <v>42934</v>
      </c>
      <c r="D523" t="s">
        <v>306</v>
      </c>
      <c r="E523" s="1">
        <v>42920</v>
      </c>
      <c r="F523">
        <v>0</v>
      </c>
      <c r="G523" s="1">
        <v>42934</v>
      </c>
      <c r="H523" s="1">
        <v>42940</v>
      </c>
      <c r="I523" t="s">
        <v>15</v>
      </c>
      <c r="J523">
        <v>19.29</v>
      </c>
      <c r="K523">
        <v>3.48</v>
      </c>
      <c r="L523">
        <v>15.81</v>
      </c>
      <c r="M523">
        <v>-6</v>
      </c>
      <c r="N523" t="s">
        <v>66</v>
      </c>
    </row>
    <row r="524" spans="1:14" x14ac:dyDescent="0.25">
      <c r="A524" t="s">
        <v>64</v>
      </c>
      <c r="B524">
        <v>1330</v>
      </c>
      <c r="C524" s="1">
        <v>42934</v>
      </c>
      <c r="D524" t="s">
        <v>307</v>
      </c>
      <c r="E524" s="1">
        <v>42920</v>
      </c>
      <c r="F524">
        <v>0</v>
      </c>
      <c r="G524" s="1">
        <v>42934</v>
      </c>
      <c r="H524" s="1">
        <v>42940</v>
      </c>
      <c r="I524" t="s">
        <v>15</v>
      </c>
      <c r="J524">
        <v>90.34</v>
      </c>
      <c r="K524">
        <v>16.29</v>
      </c>
      <c r="L524">
        <v>74.05</v>
      </c>
      <c r="M524">
        <v>-6</v>
      </c>
      <c r="N524" t="s">
        <v>66</v>
      </c>
    </row>
    <row r="525" spans="1:14" x14ac:dyDescent="0.25">
      <c r="A525" t="s">
        <v>64</v>
      </c>
      <c r="B525">
        <v>2310</v>
      </c>
      <c r="C525" s="1">
        <v>43081</v>
      </c>
      <c r="D525" t="s">
        <v>308</v>
      </c>
      <c r="E525" s="1">
        <v>43067</v>
      </c>
      <c r="F525">
        <v>0</v>
      </c>
      <c r="G525" s="1">
        <v>43081</v>
      </c>
      <c r="H525" s="1">
        <v>43087</v>
      </c>
      <c r="I525" t="s">
        <v>15</v>
      </c>
      <c r="J525">
        <v>269.91000000000003</v>
      </c>
      <c r="K525">
        <v>48.67</v>
      </c>
      <c r="L525">
        <v>221.24</v>
      </c>
      <c r="M525">
        <v>-6</v>
      </c>
      <c r="N525" t="s">
        <v>66</v>
      </c>
    </row>
    <row r="526" spans="1:14" x14ac:dyDescent="0.25">
      <c r="A526" t="s">
        <v>64</v>
      </c>
      <c r="B526">
        <v>1329</v>
      </c>
      <c r="C526" s="1">
        <v>42934</v>
      </c>
      <c r="D526" t="s">
        <v>309</v>
      </c>
      <c r="E526" s="1">
        <v>42920</v>
      </c>
      <c r="F526">
        <v>0</v>
      </c>
      <c r="G526" s="1">
        <v>42934</v>
      </c>
      <c r="H526" s="1">
        <v>42940</v>
      </c>
      <c r="I526" t="s">
        <v>15</v>
      </c>
      <c r="J526">
        <v>98.53</v>
      </c>
      <c r="K526">
        <v>17.77</v>
      </c>
      <c r="L526">
        <v>80.760000000000005</v>
      </c>
      <c r="M526">
        <v>-6</v>
      </c>
      <c r="N526" t="s">
        <v>66</v>
      </c>
    </row>
    <row r="527" spans="1:14" x14ac:dyDescent="0.25">
      <c r="A527" t="s">
        <v>64</v>
      </c>
      <c r="B527">
        <v>2311</v>
      </c>
      <c r="C527" s="1">
        <v>43081</v>
      </c>
      <c r="D527" t="s">
        <v>310</v>
      </c>
      <c r="E527" s="1">
        <v>43067</v>
      </c>
      <c r="F527">
        <v>0</v>
      </c>
      <c r="G527" s="1">
        <v>43081</v>
      </c>
      <c r="H527" s="1">
        <v>43087</v>
      </c>
      <c r="I527" t="s">
        <v>15</v>
      </c>
      <c r="J527">
        <v>564.91</v>
      </c>
      <c r="K527">
        <v>101.87</v>
      </c>
      <c r="L527">
        <v>463.04</v>
      </c>
      <c r="M527">
        <v>-6</v>
      </c>
      <c r="N527" t="s">
        <v>66</v>
      </c>
    </row>
    <row r="528" spans="1:14" x14ac:dyDescent="0.25">
      <c r="A528" t="s">
        <v>64</v>
      </c>
      <c r="B528">
        <v>1328</v>
      </c>
      <c r="C528" s="1">
        <v>42934</v>
      </c>
      <c r="D528" t="s">
        <v>309</v>
      </c>
      <c r="E528" s="1">
        <v>42920</v>
      </c>
      <c r="F528">
        <v>0</v>
      </c>
      <c r="G528" s="1">
        <v>42934</v>
      </c>
      <c r="H528" s="1">
        <v>42940</v>
      </c>
      <c r="I528" t="s">
        <v>15</v>
      </c>
      <c r="J528">
        <v>77.209999999999994</v>
      </c>
      <c r="K528">
        <v>13.92</v>
      </c>
      <c r="L528">
        <v>63.29</v>
      </c>
      <c r="M528">
        <v>-6</v>
      </c>
      <c r="N528" t="s">
        <v>66</v>
      </c>
    </row>
    <row r="529" spans="1:14" x14ac:dyDescent="0.25">
      <c r="A529" t="s">
        <v>64</v>
      </c>
      <c r="B529">
        <v>1327</v>
      </c>
      <c r="C529" s="1">
        <v>42934</v>
      </c>
      <c r="D529" t="s">
        <v>311</v>
      </c>
      <c r="E529" s="1">
        <v>42920</v>
      </c>
      <c r="F529">
        <v>0</v>
      </c>
      <c r="G529" s="1">
        <v>42934</v>
      </c>
      <c r="H529" s="1">
        <v>42940</v>
      </c>
      <c r="I529" t="s">
        <v>15</v>
      </c>
      <c r="J529">
        <v>362.11</v>
      </c>
      <c r="K529">
        <v>65.3</v>
      </c>
      <c r="L529">
        <v>296.81</v>
      </c>
      <c r="M529">
        <v>-6</v>
      </c>
      <c r="N529" t="s">
        <v>66</v>
      </c>
    </row>
    <row r="530" spans="1:14" x14ac:dyDescent="0.25">
      <c r="A530" t="s">
        <v>64</v>
      </c>
      <c r="B530">
        <v>2308</v>
      </c>
      <c r="C530" s="1">
        <v>43081</v>
      </c>
      <c r="D530" t="s">
        <v>312</v>
      </c>
      <c r="E530" s="1">
        <v>43067</v>
      </c>
      <c r="F530">
        <v>0</v>
      </c>
      <c r="G530" s="1">
        <v>43081</v>
      </c>
      <c r="H530" s="1">
        <v>43087</v>
      </c>
      <c r="I530" t="s">
        <v>15</v>
      </c>
      <c r="J530">
        <v>252.27</v>
      </c>
      <c r="K530">
        <v>45.49</v>
      </c>
      <c r="L530">
        <v>206.78</v>
      </c>
      <c r="M530">
        <v>-6</v>
      </c>
      <c r="N530" t="s">
        <v>66</v>
      </c>
    </row>
    <row r="531" spans="1:14" x14ac:dyDescent="0.25">
      <c r="A531" t="s">
        <v>64</v>
      </c>
      <c r="B531">
        <v>2313</v>
      </c>
      <c r="C531" s="1">
        <v>43081</v>
      </c>
      <c r="D531" t="s">
        <v>313</v>
      </c>
      <c r="E531" s="1">
        <v>43067</v>
      </c>
      <c r="F531">
        <v>0</v>
      </c>
      <c r="G531" s="1">
        <v>43081</v>
      </c>
      <c r="H531" s="1">
        <v>43087</v>
      </c>
      <c r="I531" t="s">
        <v>15</v>
      </c>
      <c r="J531">
        <v>140.1</v>
      </c>
      <c r="K531">
        <v>25.26</v>
      </c>
      <c r="L531">
        <v>114.84</v>
      </c>
      <c r="M531">
        <v>-6</v>
      </c>
      <c r="N531" t="s">
        <v>66</v>
      </c>
    </row>
    <row r="532" spans="1:14" x14ac:dyDescent="0.25">
      <c r="A532" t="s">
        <v>64</v>
      </c>
      <c r="B532">
        <v>1320</v>
      </c>
      <c r="C532" s="1">
        <v>42934</v>
      </c>
      <c r="D532" t="s">
        <v>314</v>
      </c>
      <c r="E532" s="1">
        <v>42920</v>
      </c>
      <c r="F532">
        <v>0</v>
      </c>
      <c r="G532" s="1">
        <v>42934</v>
      </c>
      <c r="H532" s="1">
        <v>42940</v>
      </c>
      <c r="I532" t="s">
        <v>15</v>
      </c>
      <c r="J532">
        <v>35.53</v>
      </c>
      <c r="K532">
        <v>6.41</v>
      </c>
      <c r="L532">
        <v>29.12</v>
      </c>
      <c r="M532">
        <v>-6</v>
      </c>
      <c r="N532" t="s">
        <v>66</v>
      </c>
    </row>
    <row r="533" spans="1:14" x14ac:dyDescent="0.25">
      <c r="A533" t="s">
        <v>64</v>
      </c>
      <c r="B533">
        <v>2312</v>
      </c>
      <c r="C533" s="1">
        <v>43081</v>
      </c>
      <c r="D533" t="s">
        <v>315</v>
      </c>
      <c r="E533" s="1">
        <v>43067</v>
      </c>
      <c r="F533">
        <v>0</v>
      </c>
      <c r="G533" s="1">
        <v>43081</v>
      </c>
      <c r="H533" s="1">
        <v>43087</v>
      </c>
      <c r="I533" t="s">
        <v>15</v>
      </c>
      <c r="J533">
        <v>298.14999999999998</v>
      </c>
      <c r="K533">
        <v>53.77</v>
      </c>
      <c r="L533">
        <v>244.38</v>
      </c>
      <c r="M533">
        <v>-6</v>
      </c>
      <c r="N533" t="s">
        <v>66</v>
      </c>
    </row>
    <row r="534" spans="1:14" x14ac:dyDescent="0.25">
      <c r="A534" t="s">
        <v>64</v>
      </c>
      <c r="B534">
        <v>2309</v>
      </c>
      <c r="C534" s="1">
        <v>43081</v>
      </c>
      <c r="D534" t="s">
        <v>315</v>
      </c>
      <c r="E534" s="1">
        <v>43067</v>
      </c>
      <c r="F534">
        <v>0</v>
      </c>
      <c r="G534" s="1">
        <v>43081</v>
      </c>
      <c r="H534" s="1">
        <v>43087</v>
      </c>
      <c r="I534" t="s">
        <v>15</v>
      </c>
      <c r="J534">
        <v>342.62</v>
      </c>
      <c r="K534">
        <v>61.78</v>
      </c>
      <c r="L534">
        <v>280.83999999999997</v>
      </c>
      <c r="M534">
        <v>-6</v>
      </c>
      <c r="N534" t="s">
        <v>66</v>
      </c>
    </row>
    <row r="535" spans="1:14" x14ac:dyDescent="0.25">
      <c r="A535" t="s">
        <v>64</v>
      </c>
      <c r="B535">
        <v>1326</v>
      </c>
      <c r="C535" s="1">
        <v>42934</v>
      </c>
      <c r="D535" t="s">
        <v>316</v>
      </c>
      <c r="E535" s="1">
        <v>42920</v>
      </c>
      <c r="F535">
        <v>0</v>
      </c>
      <c r="G535" s="1">
        <v>42934</v>
      </c>
      <c r="H535" s="1">
        <v>42940</v>
      </c>
      <c r="I535" t="s">
        <v>15</v>
      </c>
      <c r="J535">
        <v>178.29</v>
      </c>
      <c r="K535">
        <v>32.15</v>
      </c>
      <c r="L535">
        <v>146.13999999999999</v>
      </c>
      <c r="M535">
        <v>-6</v>
      </c>
      <c r="N535" t="s">
        <v>66</v>
      </c>
    </row>
    <row r="536" spans="1:14" x14ac:dyDescent="0.25">
      <c r="A536" t="s">
        <v>64</v>
      </c>
      <c r="B536">
        <v>2306</v>
      </c>
      <c r="C536" s="1">
        <v>43081</v>
      </c>
      <c r="D536" t="s">
        <v>317</v>
      </c>
      <c r="E536" s="1">
        <v>43067</v>
      </c>
      <c r="F536">
        <v>0</v>
      </c>
      <c r="G536" s="1">
        <v>43081</v>
      </c>
      <c r="H536" s="1">
        <v>43087</v>
      </c>
      <c r="I536" t="s">
        <v>15</v>
      </c>
      <c r="J536">
        <v>51.04</v>
      </c>
      <c r="K536">
        <v>9.1999999999999993</v>
      </c>
      <c r="L536">
        <v>41.84</v>
      </c>
      <c r="M536">
        <v>-6</v>
      </c>
      <c r="N536" t="s">
        <v>66</v>
      </c>
    </row>
    <row r="537" spans="1:14" x14ac:dyDescent="0.25">
      <c r="A537" t="s">
        <v>64</v>
      </c>
      <c r="B537">
        <v>1325</v>
      </c>
      <c r="C537" s="1">
        <v>42934</v>
      </c>
      <c r="D537" t="s">
        <v>318</v>
      </c>
      <c r="E537" s="1">
        <v>42920</v>
      </c>
      <c r="F537">
        <v>0</v>
      </c>
      <c r="G537" s="1">
        <v>42934</v>
      </c>
      <c r="H537" s="1">
        <v>42940</v>
      </c>
      <c r="I537" t="s">
        <v>15</v>
      </c>
      <c r="J537">
        <v>34.86</v>
      </c>
      <c r="K537">
        <v>6.29</v>
      </c>
      <c r="L537">
        <v>28.57</v>
      </c>
      <c r="M537">
        <v>-6</v>
      </c>
      <c r="N537" t="s">
        <v>66</v>
      </c>
    </row>
    <row r="538" spans="1:14" x14ac:dyDescent="0.25">
      <c r="A538" t="s">
        <v>178</v>
      </c>
      <c r="B538">
        <v>759</v>
      </c>
      <c r="C538" s="1">
        <v>42849</v>
      </c>
      <c r="D538" t="s">
        <v>319</v>
      </c>
      <c r="E538" s="1">
        <v>42825</v>
      </c>
      <c r="F538">
        <v>0</v>
      </c>
      <c r="G538" s="1">
        <v>42849</v>
      </c>
      <c r="H538" s="1">
        <v>42855</v>
      </c>
      <c r="I538" t="s">
        <v>15</v>
      </c>
      <c r="J538" s="2">
        <v>1985.2</v>
      </c>
      <c r="K538">
        <v>0</v>
      </c>
      <c r="L538" s="2">
        <v>1985.2</v>
      </c>
      <c r="M538">
        <v>-6</v>
      </c>
      <c r="N538" t="s">
        <v>62</v>
      </c>
    </row>
    <row r="539" spans="1:14" x14ac:dyDescent="0.25">
      <c r="A539" t="s">
        <v>178</v>
      </c>
      <c r="B539">
        <v>364</v>
      </c>
      <c r="C539" s="1">
        <v>42790</v>
      </c>
      <c r="D539" t="s">
        <v>320</v>
      </c>
      <c r="E539" s="1">
        <v>42766</v>
      </c>
      <c r="F539">
        <v>0</v>
      </c>
      <c r="G539" s="1">
        <v>42790</v>
      </c>
      <c r="H539" s="1">
        <v>42796</v>
      </c>
      <c r="I539" t="s">
        <v>15</v>
      </c>
      <c r="J539" s="2">
        <v>1985.2</v>
      </c>
      <c r="K539">
        <v>0</v>
      </c>
      <c r="L539" s="2">
        <v>1985.2</v>
      </c>
      <c r="M539">
        <v>-6</v>
      </c>
      <c r="N539" t="s">
        <v>62</v>
      </c>
    </row>
    <row r="540" spans="1:14" x14ac:dyDescent="0.25">
      <c r="A540" t="s">
        <v>37</v>
      </c>
      <c r="B540">
        <v>1581</v>
      </c>
      <c r="C540" s="1">
        <v>42972</v>
      </c>
      <c r="D540" t="s">
        <v>321</v>
      </c>
      <c r="E540" s="1">
        <v>42947</v>
      </c>
      <c r="F540">
        <v>0</v>
      </c>
      <c r="G540" s="1">
        <v>42972</v>
      </c>
      <c r="H540" s="1">
        <v>42978</v>
      </c>
      <c r="I540" t="s">
        <v>15</v>
      </c>
      <c r="J540">
        <v>46.92</v>
      </c>
      <c r="K540">
        <v>4.2699999999999996</v>
      </c>
      <c r="L540">
        <v>42.65</v>
      </c>
      <c r="M540">
        <v>-6</v>
      </c>
      <c r="N540" t="s">
        <v>39</v>
      </c>
    </row>
    <row r="541" spans="1:14" x14ac:dyDescent="0.25">
      <c r="A541" t="s">
        <v>37</v>
      </c>
      <c r="B541">
        <v>1581</v>
      </c>
      <c r="C541" s="1">
        <v>42972</v>
      </c>
      <c r="D541" t="s">
        <v>322</v>
      </c>
      <c r="E541" s="1">
        <v>42947</v>
      </c>
      <c r="F541">
        <v>0</v>
      </c>
      <c r="G541" s="1">
        <v>42972</v>
      </c>
      <c r="H541" s="1">
        <v>42978</v>
      </c>
      <c r="I541" t="s">
        <v>15</v>
      </c>
      <c r="J541" s="2">
        <v>1524.23</v>
      </c>
      <c r="K541">
        <v>58.62</v>
      </c>
      <c r="L541" s="2">
        <v>1465.61</v>
      </c>
      <c r="M541">
        <v>-6</v>
      </c>
      <c r="N541" t="s">
        <v>39</v>
      </c>
    </row>
    <row r="542" spans="1:14" x14ac:dyDescent="0.25">
      <c r="A542" t="s">
        <v>42</v>
      </c>
      <c r="B542">
        <v>761</v>
      </c>
      <c r="C542" s="1">
        <v>42849</v>
      </c>
      <c r="D542" t="s">
        <v>323</v>
      </c>
      <c r="E542" s="1">
        <v>42825</v>
      </c>
      <c r="F542">
        <v>0</v>
      </c>
      <c r="G542" s="1">
        <v>42849</v>
      </c>
      <c r="H542" s="1">
        <v>42855</v>
      </c>
      <c r="I542" t="s">
        <v>15</v>
      </c>
      <c r="J542" s="2">
        <v>1581</v>
      </c>
      <c r="K542">
        <v>0</v>
      </c>
      <c r="L542" s="2">
        <v>1581</v>
      </c>
      <c r="M542">
        <v>-6</v>
      </c>
      <c r="N542" t="s">
        <v>44</v>
      </c>
    </row>
    <row r="543" spans="1:14" x14ac:dyDescent="0.25">
      <c r="A543" t="s">
        <v>283</v>
      </c>
      <c r="B543">
        <v>972</v>
      </c>
      <c r="C543" s="1">
        <v>42893</v>
      </c>
      <c r="D543" s="4">
        <v>42887</v>
      </c>
      <c r="E543" s="1">
        <v>42870</v>
      </c>
      <c r="F543">
        <v>0</v>
      </c>
      <c r="G543" s="1">
        <v>42895</v>
      </c>
      <c r="H543" s="1">
        <v>42901</v>
      </c>
      <c r="I543" t="s">
        <v>15</v>
      </c>
      <c r="J543" s="2">
        <v>2092.3000000000002</v>
      </c>
      <c r="K543">
        <v>377.3</v>
      </c>
      <c r="L543" s="2">
        <v>1715</v>
      </c>
      <c r="M543">
        <v>-6</v>
      </c>
      <c r="N543" t="s">
        <v>129</v>
      </c>
    </row>
    <row r="544" spans="1:14" x14ac:dyDescent="0.25">
      <c r="A544" t="s">
        <v>31</v>
      </c>
      <c r="B544">
        <v>1215</v>
      </c>
      <c r="C544" s="1">
        <v>42922</v>
      </c>
      <c r="D544" t="s">
        <v>324</v>
      </c>
      <c r="E544" s="1">
        <v>42900</v>
      </c>
      <c r="F544">
        <v>0</v>
      </c>
      <c r="G544" s="1">
        <v>42923</v>
      </c>
      <c r="H544" s="1">
        <v>42930</v>
      </c>
      <c r="I544" t="s">
        <v>15</v>
      </c>
      <c r="J544">
        <v>9.8800000000000008</v>
      </c>
      <c r="K544">
        <v>0.47</v>
      </c>
      <c r="L544">
        <v>9.41</v>
      </c>
      <c r="M544">
        <v>-7</v>
      </c>
      <c r="N544" t="s">
        <v>33</v>
      </c>
    </row>
    <row r="545" spans="1:14" x14ac:dyDescent="0.25">
      <c r="A545" t="s">
        <v>31</v>
      </c>
      <c r="B545">
        <v>1208</v>
      </c>
      <c r="C545" s="1">
        <v>42922</v>
      </c>
      <c r="D545" t="s">
        <v>325</v>
      </c>
      <c r="E545" s="1">
        <v>42900</v>
      </c>
      <c r="F545">
        <v>0</v>
      </c>
      <c r="G545" s="1">
        <v>42923</v>
      </c>
      <c r="H545" s="1">
        <v>42930</v>
      </c>
      <c r="I545" t="s">
        <v>15</v>
      </c>
      <c r="J545" s="2">
        <v>1965.17</v>
      </c>
      <c r="K545">
        <v>93.58</v>
      </c>
      <c r="L545" s="2">
        <v>1871.59</v>
      </c>
      <c r="M545">
        <v>-7</v>
      </c>
      <c r="N545" t="s">
        <v>33</v>
      </c>
    </row>
    <row r="546" spans="1:14" x14ac:dyDescent="0.25">
      <c r="A546" t="s">
        <v>326</v>
      </c>
      <c r="B546">
        <v>749</v>
      </c>
      <c r="C546" s="1">
        <v>42846</v>
      </c>
      <c r="D546" t="s">
        <v>327</v>
      </c>
      <c r="E546" s="1">
        <v>42794</v>
      </c>
      <c r="F546">
        <v>0</v>
      </c>
      <c r="G546" s="1">
        <v>42846</v>
      </c>
      <c r="H546" s="1">
        <v>42853</v>
      </c>
      <c r="I546" t="s">
        <v>15</v>
      </c>
      <c r="J546" s="2">
        <v>1608.92</v>
      </c>
      <c r="K546">
        <v>0</v>
      </c>
      <c r="L546" s="2">
        <v>1608.92</v>
      </c>
      <c r="M546">
        <v>-7</v>
      </c>
      <c r="N546" t="s">
        <v>52</v>
      </c>
    </row>
    <row r="547" spans="1:14" x14ac:dyDescent="0.25">
      <c r="A547" t="s">
        <v>64</v>
      </c>
      <c r="B547">
        <v>916</v>
      </c>
      <c r="C547" s="1">
        <v>42872</v>
      </c>
      <c r="D547" t="s">
        <v>328</v>
      </c>
      <c r="E547" s="1">
        <v>42860</v>
      </c>
      <c r="F547">
        <v>0</v>
      </c>
      <c r="G547" s="1">
        <v>42873</v>
      </c>
      <c r="H547" s="1">
        <v>42880</v>
      </c>
      <c r="I547" t="s">
        <v>15</v>
      </c>
      <c r="J547">
        <v>61.31</v>
      </c>
      <c r="K547">
        <v>10.78</v>
      </c>
      <c r="L547">
        <v>50.53</v>
      </c>
      <c r="M547">
        <v>-7</v>
      </c>
      <c r="N547" t="s">
        <v>66</v>
      </c>
    </row>
    <row r="548" spans="1:14" x14ac:dyDescent="0.25">
      <c r="A548" t="s">
        <v>64</v>
      </c>
      <c r="B548">
        <v>923</v>
      </c>
      <c r="C548" s="1">
        <v>42872</v>
      </c>
      <c r="D548" t="s">
        <v>329</v>
      </c>
      <c r="E548" s="1">
        <v>42860</v>
      </c>
      <c r="F548">
        <v>0</v>
      </c>
      <c r="G548" s="1">
        <v>42873</v>
      </c>
      <c r="H548" s="1">
        <v>42880</v>
      </c>
      <c r="I548" t="s">
        <v>15</v>
      </c>
      <c r="J548">
        <v>2.34</v>
      </c>
      <c r="K548">
        <v>0.42</v>
      </c>
      <c r="L548">
        <v>1.92</v>
      </c>
      <c r="M548">
        <v>-7</v>
      </c>
      <c r="N548" t="s">
        <v>66</v>
      </c>
    </row>
    <row r="549" spans="1:14" x14ac:dyDescent="0.25">
      <c r="A549" t="s">
        <v>64</v>
      </c>
      <c r="B549">
        <v>914</v>
      </c>
      <c r="C549" s="1">
        <v>42872</v>
      </c>
      <c r="D549" t="s">
        <v>330</v>
      </c>
      <c r="E549" s="1">
        <v>42860</v>
      </c>
      <c r="F549">
        <v>0</v>
      </c>
      <c r="G549" s="1">
        <v>42873</v>
      </c>
      <c r="H549" s="1">
        <v>42880</v>
      </c>
      <c r="I549" t="s">
        <v>15</v>
      </c>
      <c r="J549">
        <v>133.94999999999999</v>
      </c>
      <c r="K549">
        <v>24.16</v>
      </c>
      <c r="L549">
        <v>109.79</v>
      </c>
      <c r="M549">
        <v>-7</v>
      </c>
      <c r="N549" t="s">
        <v>66</v>
      </c>
    </row>
    <row r="550" spans="1:14" x14ac:dyDescent="0.25">
      <c r="A550" t="s">
        <v>64</v>
      </c>
      <c r="B550">
        <v>919</v>
      </c>
      <c r="C550" s="1">
        <v>42872</v>
      </c>
      <c r="D550" t="s">
        <v>331</v>
      </c>
      <c r="E550" s="1">
        <v>42860</v>
      </c>
      <c r="F550">
        <v>0</v>
      </c>
      <c r="G550" s="1">
        <v>42873</v>
      </c>
      <c r="H550" s="1">
        <v>42880</v>
      </c>
      <c r="I550" t="s">
        <v>15</v>
      </c>
      <c r="J550">
        <v>918.4</v>
      </c>
      <c r="K550">
        <v>165.61</v>
      </c>
      <c r="L550">
        <v>752.79</v>
      </c>
      <c r="M550">
        <v>-7</v>
      </c>
      <c r="N550" t="s">
        <v>66</v>
      </c>
    </row>
    <row r="551" spans="1:14" x14ac:dyDescent="0.25">
      <c r="A551" t="s">
        <v>64</v>
      </c>
      <c r="B551">
        <v>913</v>
      </c>
      <c r="C551" s="1">
        <v>42872</v>
      </c>
      <c r="D551" t="s">
        <v>330</v>
      </c>
      <c r="E551" s="1">
        <v>42860</v>
      </c>
      <c r="F551">
        <v>0</v>
      </c>
      <c r="G551" s="1">
        <v>42873</v>
      </c>
      <c r="H551" s="1">
        <v>42880</v>
      </c>
      <c r="I551" t="s">
        <v>15</v>
      </c>
      <c r="J551">
        <v>191</v>
      </c>
      <c r="K551">
        <v>34.44</v>
      </c>
      <c r="L551">
        <v>156.56</v>
      </c>
      <c r="M551">
        <v>-7</v>
      </c>
      <c r="N551" t="s">
        <v>66</v>
      </c>
    </row>
    <row r="552" spans="1:14" x14ac:dyDescent="0.25">
      <c r="A552" t="s">
        <v>64</v>
      </c>
      <c r="B552">
        <v>912</v>
      </c>
      <c r="C552" s="1">
        <v>42872</v>
      </c>
      <c r="D552" t="s">
        <v>332</v>
      </c>
      <c r="E552" s="1">
        <v>42860</v>
      </c>
      <c r="F552">
        <v>0</v>
      </c>
      <c r="G552" s="1">
        <v>42873</v>
      </c>
      <c r="H552" s="1">
        <v>42880</v>
      </c>
      <c r="I552" t="s">
        <v>15</v>
      </c>
      <c r="J552">
        <v>735.61</v>
      </c>
      <c r="K552">
        <v>132.65</v>
      </c>
      <c r="L552">
        <v>602.96</v>
      </c>
      <c r="M552">
        <v>-7</v>
      </c>
      <c r="N552" t="s">
        <v>66</v>
      </c>
    </row>
    <row r="553" spans="1:14" x14ac:dyDescent="0.25">
      <c r="A553" t="s">
        <v>64</v>
      </c>
      <c r="B553">
        <v>920</v>
      </c>
      <c r="C553" s="1">
        <v>42872</v>
      </c>
      <c r="D553" t="s">
        <v>333</v>
      </c>
      <c r="E553" s="1">
        <v>42860</v>
      </c>
      <c r="F553">
        <v>0</v>
      </c>
      <c r="G553" s="1">
        <v>42873</v>
      </c>
      <c r="H553" s="1">
        <v>42880</v>
      </c>
      <c r="I553" t="s">
        <v>15</v>
      </c>
      <c r="J553" s="2">
        <v>2601.4699999999998</v>
      </c>
      <c r="K553">
        <v>469.12</v>
      </c>
      <c r="L553" s="2">
        <v>2132.35</v>
      </c>
      <c r="M553">
        <v>-7</v>
      </c>
      <c r="N553" t="s">
        <v>66</v>
      </c>
    </row>
    <row r="554" spans="1:14" x14ac:dyDescent="0.25">
      <c r="A554" t="s">
        <v>64</v>
      </c>
      <c r="B554">
        <v>918</v>
      </c>
      <c r="C554" s="1">
        <v>42872</v>
      </c>
      <c r="D554" t="s">
        <v>334</v>
      </c>
      <c r="E554" s="1">
        <v>42860</v>
      </c>
      <c r="F554">
        <v>0</v>
      </c>
      <c r="G554" s="1">
        <v>42873</v>
      </c>
      <c r="H554" s="1">
        <v>42880</v>
      </c>
      <c r="I554" t="s">
        <v>15</v>
      </c>
      <c r="J554">
        <v>735.86</v>
      </c>
      <c r="K554">
        <v>132.69999999999999</v>
      </c>
      <c r="L554">
        <v>603.16</v>
      </c>
      <c r="M554">
        <v>-7</v>
      </c>
      <c r="N554" t="s">
        <v>66</v>
      </c>
    </row>
    <row r="555" spans="1:14" x14ac:dyDescent="0.25">
      <c r="A555" t="s">
        <v>64</v>
      </c>
      <c r="B555">
        <v>917</v>
      </c>
      <c r="C555" s="1">
        <v>42872</v>
      </c>
      <c r="D555" t="s">
        <v>335</v>
      </c>
      <c r="E555" s="1">
        <v>42860</v>
      </c>
      <c r="F555">
        <v>0</v>
      </c>
      <c r="G555" s="1">
        <v>42873</v>
      </c>
      <c r="H555" s="1">
        <v>42880</v>
      </c>
      <c r="I555" t="s">
        <v>15</v>
      </c>
      <c r="J555">
        <v>448.34</v>
      </c>
      <c r="K555">
        <v>80.849999999999994</v>
      </c>
      <c r="L555">
        <v>367.49</v>
      </c>
      <c r="M555">
        <v>-7</v>
      </c>
      <c r="N555" t="s">
        <v>66</v>
      </c>
    </row>
    <row r="556" spans="1:14" x14ac:dyDescent="0.25">
      <c r="A556" t="s">
        <v>64</v>
      </c>
      <c r="B556">
        <v>915</v>
      </c>
      <c r="C556" s="1">
        <v>42872</v>
      </c>
      <c r="D556" t="s">
        <v>328</v>
      </c>
      <c r="E556" s="1">
        <v>42860</v>
      </c>
      <c r="F556">
        <v>0</v>
      </c>
      <c r="G556" s="1">
        <v>42873</v>
      </c>
      <c r="H556" s="1">
        <v>42880</v>
      </c>
      <c r="I556" t="s">
        <v>15</v>
      </c>
      <c r="J556">
        <v>99.6</v>
      </c>
      <c r="K556">
        <v>17.510000000000002</v>
      </c>
      <c r="L556">
        <v>82.09</v>
      </c>
      <c r="M556">
        <v>-7</v>
      </c>
      <c r="N556" t="s">
        <v>66</v>
      </c>
    </row>
    <row r="557" spans="1:14" x14ac:dyDescent="0.25">
      <c r="A557" t="s">
        <v>64</v>
      </c>
      <c r="B557">
        <v>911</v>
      </c>
      <c r="C557" s="1">
        <v>42872</v>
      </c>
      <c r="D557" t="s">
        <v>336</v>
      </c>
      <c r="E557" s="1">
        <v>42860</v>
      </c>
      <c r="F557">
        <v>0</v>
      </c>
      <c r="G557" s="1">
        <v>42873</v>
      </c>
      <c r="H557" s="1">
        <v>42880</v>
      </c>
      <c r="I557" t="s">
        <v>15</v>
      </c>
      <c r="J557">
        <v>2.34</v>
      </c>
      <c r="K557">
        <v>0.42</v>
      </c>
      <c r="L557">
        <v>1.92</v>
      </c>
      <c r="M557">
        <v>-7</v>
      </c>
      <c r="N557" t="s">
        <v>66</v>
      </c>
    </row>
    <row r="558" spans="1:14" x14ac:dyDescent="0.25">
      <c r="A558" t="s">
        <v>64</v>
      </c>
      <c r="B558">
        <v>921</v>
      </c>
      <c r="C558" s="1">
        <v>42872</v>
      </c>
      <c r="D558" t="s">
        <v>337</v>
      </c>
      <c r="E558" s="1">
        <v>42860</v>
      </c>
      <c r="F558">
        <v>0</v>
      </c>
      <c r="G558" s="1">
        <v>42873</v>
      </c>
      <c r="H558" s="1">
        <v>42880</v>
      </c>
      <c r="I558" t="s">
        <v>15</v>
      </c>
      <c r="J558" s="2">
        <v>2712.68</v>
      </c>
      <c r="K558">
        <v>489.17</v>
      </c>
      <c r="L558" s="2">
        <v>2223.5100000000002</v>
      </c>
      <c r="M558">
        <v>-7</v>
      </c>
      <c r="N558" t="s">
        <v>66</v>
      </c>
    </row>
    <row r="559" spans="1:14" x14ac:dyDescent="0.25">
      <c r="A559" t="s">
        <v>64</v>
      </c>
      <c r="B559">
        <v>922</v>
      </c>
      <c r="C559" s="1">
        <v>42872</v>
      </c>
      <c r="D559" t="s">
        <v>338</v>
      </c>
      <c r="E559" s="1">
        <v>42860</v>
      </c>
      <c r="F559">
        <v>0</v>
      </c>
      <c r="G559" s="1">
        <v>42873</v>
      </c>
      <c r="H559" s="1">
        <v>42880</v>
      </c>
      <c r="I559" t="s">
        <v>15</v>
      </c>
      <c r="J559">
        <v>129.78</v>
      </c>
      <c r="K559">
        <v>23.4</v>
      </c>
      <c r="L559">
        <v>106.38</v>
      </c>
      <c r="M559">
        <v>-7</v>
      </c>
      <c r="N559" t="s">
        <v>66</v>
      </c>
    </row>
    <row r="560" spans="1:14" x14ac:dyDescent="0.25">
      <c r="A560" t="s">
        <v>40</v>
      </c>
      <c r="B560">
        <v>1497</v>
      </c>
      <c r="C560" s="1">
        <v>42957</v>
      </c>
      <c r="D560" t="str">
        <f>"600004478394"</f>
        <v>600004478394</v>
      </c>
      <c r="E560" s="1">
        <v>42937</v>
      </c>
      <c r="F560">
        <v>0</v>
      </c>
      <c r="G560" s="1">
        <v>42957</v>
      </c>
      <c r="H560" s="1">
        <v>42965</v>
      </c>
      <c r="I560" t="s">
        <v>15</v>
      </c>
      <c r="J560">
        <v>0.4</v>
      </c>
      <c r="K560">
        <v>0.4</v>
      </c>
      <c r="L560">
        <v>0</v>
      </c>
      <c r="M560">
        <v>-8</v>
      </c>
      <c r="N560" t="s">
        <v>41</v>
      </c>
    </row>
    <row r="561" spans="1:14" x14ac:dyDescent="0.25">
      <c r="A561" t="s">
        <v>40</v>
      </c>
      <c r="B561">
        <v>1483</v>
      </c>
      <c r="C561" s="1">
        <v>42957</v>
      </c>
      <c r="D561" t="str">
        <f>"600004478383"</f>
        <v>600004478383</v>
      </c>
      <c r="E561" s="1">
        <v>42937</v>
      </c>
      <c r="F561">
        <v>0</v>
      </c>
      <c r="G561" s="1">
        <v>42957</v>
      </c>
      <c r="H561" s="1">
        <v>42965</v>
      </c>
      <c r="I561" t="s">
        <v>15</v>
      </c>
      <c r="J561">
        <v>0.54</v>
      </c>
      <c r="K561">
        <v>0.54</v>
      </c>
      <c r="L561">
        <v>0</v>
      </c>
      <c r="M561">
        <v>-8</v>
      </c>
      <c r="N561" t="s">
        <v>41</v>
      </c>
    </row>
    <row r="562" spans="1:14" x14ac:dyDescent="0.25">
      <c r="A562" t="s">
        <v>40</v>
      </c>
      <c r="B562">
        <v>1491</v>
      </c>
      <c r="C562" s="1">
        <v>42957</v>
      </c>
      <c r="D562" t="str">
        <f>"600004478389"</f>
        <v>600004478389</v>
      </c>
      <c r="E562" s="1">
        <v>42937</v>
      </c>
      <c r="F562">
        <v>0</v>
      </c>
      <c r="G562" s="1">
        <v>42957</v>
      </c>
      <c r="H562" s="1">
        <v>42965</v>
      </c>
      <c r="I562" t="s">
        <v>15</v>
      </c>
      <c r="J562">
        <v>15.1</v>
      </c>
      <c r="K562">
        <v>0.6</v>
      </c>
      <c r="L562">
        <v>14.5</v>
      </c>
      <c r="M562">
        <v>-8</v>
      </c>
      <c r="N562" t="s">
        <v>41</v>
      </c>
    </row>
    <row r="563" spans="1:14" x14ac:dyDescent="0.25">
      <c r="A563" t="s">
        <v>40</v>
      </c>
      <c r="B563">
        <v>1490</v>
      </c>
      <c r="C563" s="1">
        <v>42957</v>
      </c>
      <c r="D563" t="str">
        <f>"600004478385"</f>
        <v>600004478385</v>
      </c>
      <c r="E563" s="1">
        <v>42937</v>
      </c>
      <c r="F563">
        <v>0</v>
      </c>
      <c r="G563" s="1">
        <v>42957</v>
      </c>
      <c r="H563" s="1">
        <v>42965</v>
      </c>
      <c r="I563" t="s">
        <v>15</v>
      </c>
      <c r="J563">
        <v>0.54</v>
      </c>
      <c r="K563">
        <v>0.54</v>
      </c>
      <c r="L563">
        <v>0</v>
      </c>
      <c r="M563">
        <v>-8</v>
      </c>
      <c r="N563" t="s">
        <v>41</v>
      </c>
    </row>
    <row r="564" spans="1:14" x14ac:dyDescent="0.25">
      <c r="A564" t="s">
        <v>40</v>
      </c>
      <c r="B564">
        <v>1498</v>
      </c>
      <c r="C564" s="1">
        <v>42957</v>
      </c>
      <c r="D564" t="str">
        <f>"600004478373"</f>
        <v>600004478373</v>
      </c>
      <c r="E564" s="1">
        <v>42937</v>
      </c>
      <c r="F564">
        <v>0</v>
      </c>
      <c r="G564" s="1">
        <v>42957</v>
      </c>
      <c r="H564" s="1">
        <v>42965</v>
      </c>
      <c r="I564" t="s">
        <v>15</v>
      </c>
      <c r="J564">
        <v>57.41</v>
      </c>
      <c r="K564">
        <v>5.18</v>
      </c>
      <c r="L564">
        <v>52.23</v>
      </c>
      <c r="M564">
        <v>-8</v>
      </c>
      <c r="N564" t="s">
        <v>41</v>
      </c>
    </row>
    <row r="565" spans="1:14" x14ac:dyDescent="0.25">
      <c r="A565" t="s">
        <v>40</v>
      </c>
      <c r="B565">
        <v>1489</v>
      </c>
      <c r="C565" s="1">
        <v>42957</v>
      </c>
      <c r="D565" t="str">
        <f>"600004478374"</f>
        <v>600004478374</v>
      </c>
      <c r="E565" s="1">
        <v>42937</v>
      </c>
      <c r="F565">
        <v>0</v>
      </c>
      <c r="G565" s="1">
        <v>42957</v>
      </c>
      <c r="H565" s="1">
        <v>42965</v>
      </c>
      <c r="I565" t="s">
        <v>15</v>
      </c>
      <c r="J565">
        <v>118.76</v>
      </c>
      <c r="K565">
        <v>10.75</v>
      </c>
      <c r="L565">
        <v>108.01</v>
      </c>
      <c r="M565">
        <v>-8</v>
      </c>
      <c r="N565" t="s">
        <v>41</v>
      </c>
    </row>
    <row r="566" spans="1:14" x14ac:dyDescent="0.25">
      <c r="A566" t="s">
        <v>40</v>
      </c>
      <c r="B566">
        <v>1495</v>
      </c>
      <c r="C566" s="1">
        <v>42957</v>
      </c>
      <c r="D566" t="str">
        <f>"600004478376"</f>
        <v>600004478376</v>
      </c>
      <c r="E566" s="1">
        <v>42937</v>
      </c>
      <c r="F566">
        <v>0</v>
      </c>
      <c r="G566" s="1">
        <v>42957</v>
      </c>
      <c r="H566" s="1">
        <v>42965</v>
      </c>
      <c r="I566" t="s">
        <v>15</v>
      </c>
      <c r="J566">
        <v>10.59</v>
      </c>
      <c r="K566">
        <v>0.35</v>
      </c>
      <c r="L566">
        <v>10.24</v>
      </c>
      <c r="M566">
        <v>-8</v>
      </c>
      <c r="N566" t="s">
        <v>41</v>
      </c>
    </row>
    <row r="567" spans="1:14" x14ac:dyDescent="0.25">
      <c r="A567" t="s">
        <v>40</v>
      </c>
      <c r="B567">
        <v>1488</v>
      </c>
      <c r="C567" s="1">
        <v>42957</v>
      </c>
      <c r="D567" t="str">
        <f>"600004478386"</f>
        <v>600004478386</v>
      </c>
      <c r="E567" s="1">
        <v>42937</v>
      </c>
      <c r="F567">
        <v>0</v>
      </c>
      <c r="G567" s="1">
        <v>42957</v>
      </c>
      <c r="H567" s="1">
        <v>42965</v>
      </c>
      <c r="I567" t="s">
        <v>15</v>
      </c>
      <c r="J567">
        <v>278.82</v>
      </c>
      <c r="K567">
        <v>25.31</v>
      </c>
      <c r="L567">
        <v>253.51</v>
      </c>
      <c r="M567">
        <v>-8</v>
      </c>
      <c r="N567" t="s">
        <v>41</v>
      </c>
    </row>
    <row r="568" spans="1:14" x14ac:dyDescent="0.25">
      <c r="A568" t="s">
        <v>40</v>
      </c>
      <c r="B568">
        <v>1493</v>
      </c>
      <c r="C568" s="1">
        <v>42957</v>
      </c>
      <c r="D568" t="str">
        <f>"600004478371"</f>
        <v>600004478371</v>
      </c>
      <c r="E568" s="1">
        <v>42937</v>
      </c>
      <c r="F568">
        <v>0</v>
      </c>
      <c r="G568" s="1">
        <v>42957</v>
      </c>
      <c r="H568" s="1">
        <v>42965</v>
      </c>
      <c r="I568" t="s">
        <v>15</v>
      </c>
      <c r="J568">
        <v>104.34</v>
      </c>
      <c r="K568">
        <v>9.44</v>
      </c>
      <c r="L568">
        <v>94.9</v>
      </c>
      <c r="M568">
        <v>-8</v>
      </c>
      <c r="N568" t="s">
        <v>41</v>
      </c>
    </row>
    <row r="569" spans="1:14" x14ac:dyDescent="0.25">
      <c r="A569" t="s">
        <v>40</v>
      </c>
      <c r="B569">
        <v>1487</v>
      </c>
      <c r="C569" s="1">
        <v>42957</v>
      </c>
      <c r="D569" t="str">
        <f>"600004478384"</f>
        <v>600004478384</v>
      </c>
      <c r="E569" s="1">
        <v>42937</v>
      </c>
      <c r="F569">
        <v>0</v>
      </c>
      <c r="G569" s="1">
        <v>42957</v>
      </c>
      <c r="H569" s="1">
        <v>42965</v>
      </c>
      <c r="I569" t="s">
        <v>15</v>
      </c>
      <c r="J569">
        <v>0.01</v>
      </c>
      <c r="K569">
        <v>0.01</v>
      </c>
      <c r="L569">
        <v>0</v>
      </c>
      <c r="M569">
        <v>-8</v>
      </c>
      <c r="N569" t="s">
        <v>41</v>
      </c>
    </row>
    <row r="570" spans="1:14" x14ac:dyDescent="0.25">
      <c r="A570" t="s">
        <v>40</v>
      </c>
      <c r="B570">
        <v>1499</v>
      </c>
      <c r="C570" s="1">
        <v>42957</v>
      </c>
      <c r="D570" t="str">
        <f>"600004478375"</f>
        <v>600004478375</v>
      </c>
      <c r="E570" s="1">
        <v>42937</v>
      </c>
      <c r="F570">
        <v>0</v>
      </c>
      <c r="G570" s="1">
        <v>42957</v>
      </c>
      <c r="H570" s="1">
        <v>42965</v>
      </c>
      <c r="I570" t="s">
        <v>15</v>
      </c>
      <c r="J570">
        <v>0.19</v>
      </c>
      <c r="K570">
        <v>0.19</v>
      </c>
      <c r="L570">
        <v>0</v>
      </c>
      <c r="M570">
        <v>-8</v>
      </c>
      <c r="N570" t="s">
        <v>41</v>
      </c>
    </row>
    <row r="571" spans="1:14" x14ac:dyDescent="0.25">
      <c r="A571" t="s">
        <v>40</v>
      </c>
      <c r="B571">
        <v>1494</v>
      </c>
      <c r="C571" s="1">
        <v>42957</v>
      </c>
      <c r="D571" t="str">
        <f>"600004478388"</f>
        <v>600004478388</v>
      </c>
      <c r="E571" s="1">
        <v>42937</v>
      </c>
      <c r="F571">
        <v>0</v>
      </c>
      <c r="G571" s="1">
        <v>42957</v>
      </c>
      <c r="H571" s="1">
        <v>42965</v>
      </c>
      <c r="I571" t="s">
        <v>15</v>
      </c>
      <c r="J571">
        <v>0.14000000000000001</v>
      </c>
      <c r="K571">
        <v>0.14000000000000001</v>
      </c>
      <c r="L571">
        <v>0</v>
      </c>
      <c r="M571">
        <v>-8</v>
      </c>
      <c r="N571" t="s">
        <v>41</v>
      </c>
    </row>
    <row r="572" spans="1:14" x14ac:dyDescent="0.25">
      <c r="A572" t="s">
        <v>40</v>
      </c>
      <c r="B572">
        <v>1492</v>
      </c>
      <c r="C572" s="1">
        <v>42957</v>
      </c>
      <c r="D572" t="str">
        <f>"600004478378"</f>
        <v>600004478378</v>
      </c>
      <c r="E572" s="1">
        <v>42937</v>
      </c>
      <c r="F572">
        <v>0</v>
      </c>
      <c r="G572" s="1">
        <v>42957</v>
      </c>
      <c r="H572" s="1">
        <v>42965</v>
      </c>
      <c r="I572" t="s">
        <v>15</v>
      </c>
      <c r="J572">
        <v>0.61</v>
      </c>
      <c r="K572">
        <v>0.61</v>
      </c>
      <c r="L572">
        <v>0</v>
      </c>
      <c r="M572">
        <v>-8</v>
      </c>
      <c r="N572" t="s">
        <v>41</v>
      </c>
    </row>
    <row r="573" spans="1:14" x14ac:dyDescent="0.25">
      <c r="A573" t="s">
        <v>40</v>
      </c>
      <c r="B573">
        <v>1496</v>
      </c>
      <c r="C573" s="1">
        <v>42957</v>
      </c>
      <c r="D573" t="str">
        <f>"600004478393"</f>
        <v>600004478393</v>
      </c>
      <c r="E573" s="1">
        <v>42937</v>
      </c>
      <c r="F573">
        <v>0</v>
      </c>
      <c r="G573" s="1">
        <v>42957</v>
      </c>
      <c r="H573" s="1">
        <v>42965</v>
      </c>
      <c r="I573" t="s">
        <v>15</v>
      </c>
      <c r="J573">
        <v>0.38</v>
      </c>
      <c r="K573">
        <v>0.38</v>
      </c>
      <c r="L573">
        <v>0</v>
      </c>
      <c r="M573">
        <v>-8</v>
      </c>
      <c r="N573" t="s">
        <v>41</v>
      </c>
    </row>
    <row r="574" spans="1:14" x14ac:dyDescent="0.25">
      <c r="A574" t="s">
        <v>40</v>
      </c>
      <c r="B574">
        <v>1486</v>
      </c>
      <c r="C574" s="1">
        <v>42957</v>
      </c>
      <c r="D574" t="str">
        <f>"600004478382"</f>
        <v>600004478382</v>
      </c>
      <c r="E574" s="1">
        <v>42937</v>
      </c>
      <c r="F574">
        <v>0</v>
      </c>
      <c r="G574" s="1">
        <v>42957</v>
      </c>
      <c r="H574" s="1">
        <v>42965</v>
      </c>
      <c r="I574" t="s">
        <v>15</v>
      </c>
      <c r="J574">
        <v>0.38</v>
      </c>
      <c r="K574">
        <v>0.38</v>
      </c>
      <c r="L574">
        <v>0</v>
      </c>
      <c r="M574">
        <v>-8</v>
      </c>
      <c r="N574" t="s">
        <v>41</v>
      </c>
    </row>
    <row r="575" spans="1:14" x14ac:dyDescent="0.25">
      <c r="A575" t="s">
        <v>40</v>
      </c>
      <c r="B575">
        <v>1485</v>
      </c>
      <c r="C575" s="1">
        <v>42957</v>
      </c>
      <c r="D575" t="str">
        <f>"600004478390"</f>
        <v>600004478390</v>
      </c>
      <c r="E575" s="1">
        <v>42937</v>
      </c>
      <c r="F575">
        <v>0</v>
      </c>
      <c r="G575" s="1">
        <v>42957</v>
      </c>
      <c r="H575" s="1">
        <v>42965</v>
      </c>
      <c r="I575" t="s">
        <v>15</v>
      </c>
      <c r="J575">
        <v>14.18</v>
      </c>
      <c r="K575">
        <v>0.55000000000000004</v>
      </c>
      <c r="L575">
        <v>13.63</v>
      </c>
      <c r="M575">
        <v>-8</v>
      </c>
      <c r="N575" t="s">
        <v>41</v>
      </c>
    </row>
    <row r="576" spans="1:14" x14ac:dyDescent="0.25">
      <c r="A576" t="s">
        <v>40</v>
      </c>
      <c r="B576">
        <v>1484</v>
      </c>
      <c r="C576" s="1">
        <v>42957</v>
      </c>
      <c r="D576" t="str">
        <f>"600004478392"</f>
        <v>600004478392</v>
      </c>
      <c r="E576" s="1">
        <v>42937</v>
      </c>
      <c r="F576">
        <v>0</v>
      </c>
      <c r="G576" s="1">
        <v>42957</v>
      </c>
      <c r="H576" s="1">
        <v>42965</v>
      </c>
      <c r="I576" t="s">
        <v>15</v>
      </c>
      <c r="J576">
        <v>0.2</v>
      </c>
      <c r="K576">
        <v>0.2</v>
      </c>
      <c r="L576">
        <v>0</v>
      </c>
      <c r="M576">
        <v>-8</v>
      </c>
      <c r="N576" t="s">
        <v>41</v>
      </c>
    </row>
    <row r="577" spans="1:14" x14ac:dyDescent="0.25">
      <c r="A577" t="s">
        <v>180</v>
      </c>
      <c r="B577">
        <v>1898</v>
      </c>
      <c r="C577" s="1">
        <v>43033</v>
      </c>
      <c r="D577" t="str">
        <f>"216"</f>
        <v>216</v>
      </c>
      <c r="E577" s="1">
        <v>43008</v>
      </c>
      <c r="F577">
        <v>0</v>
      </c>
      <c r="G577" s="1">
        <v>43034</v>
      </c>
      <c r="H577" s="1">
        <v>43042</v>
      </c>
      <c r="I577" t="s">
        <v>15</v>
      </c>
      <c r="J577">
        <v>500</v>
      </c>
      <c r="K577">
        <v>90.16</v>
      </c>
      <c r="L577">
        <v>409.84</v>
      </c>
      <c r="M577">
        <v>-8</v>
      </c>
      <c r="N577" t="s">
        <v>66</v>
      </c>
    </row>
    <row r="578" spans="1:14" x14ac:dyDescent="0.25">
      <c r="A578" t="s">
        <v>180</v>
      </c>
      <c r="B578">
        <v>1895</v>
      </c>
      <c r="C578" s="1">
        <v>43033</v>
      </c>
      <c r="D578" t="str">
        <f>"216"</f>
        <v>216</v>
      </c>
      <c r="E578" s="1">
        <v>43008</v>
      </c>
      <c r="F578">
        <v>0</v>
      </c>
      <c r="G578" s="1">
        <v>43034</v>
      </c>
      <c r="H578" s="1">
        <v>43042</v>
      </c>
      <c r="I578" t="s">
        <v>15</v>
      </c>
      <c r="J578">
        <v>500</v>
      </c>
      <c r="K578">
        <v>90.16</v>
      </c>
      <c r="L578">
        <v>409.84</v>
      </c>
      <c r="M578">
        <v>-8</v>
      </c>
      <c r="N578" t="s">
        <v>66</v>
      </c>
    </row>
    <row r="579" spans="1:14" x14ac:dyDescent="0.25">
      <c r="A579" t="s">
        <v>180</v>
      </c>
      <c r="B579">
        <v>1899</v>
      </c>
      <c r="C579" s="1">
        <v>43033</v>
      </c>
      <c r="D579" t="str">
        <f>"216"</f>
        <v>216</v>
      </c>
      <c r="E579" s="1">
        <v>43008</v>
      </c>
      <c r="F579">
        <v>0</v>
      </c>
      <c r="G579" s="1">
        <v>43034</v>
      </c>
      <c r="H579" s="1">
        <v>43042</v>
      </c>
      <c r="I579" t="s">
        <v>15</v>
      </c>
      <c r="J579">
        <v>50</v>
      </c>
      <c r="K579">
        <v>9.02</v>
      </c>
      <c r="L579">
        <v>40.98</v>
      </c>
      <c r="M579">
        <v>-8</v>
      </c>
      <c r="N579" t="s">
        <v>66</v>
      </c>
    </row>
    <row r="580" spans="1:14" x14ac:dyDescent="0.25">
      <c r="A580" t="s">
        <v>180</v>
      </c>
      <c r="B580">
        <v>1896</v>
      </c>
      <c r="C580" s="1">
        <v>43033</v>
      </c>
      <c r="D580" t="str">
        <f>"216"</f>
        <v>216</v>
      </c>
      <c r="E580" s="1">
        <v>43008</v>
      </c>
      <c r="F580">
        <v>0</v>
      </c>
      <c r="G580" s="1">
        <v>43034</v>
      </c>
      <c r="H580" s="1">
        <v>43042</v>
      </c>
      <c r="I580" t="s">
        <v>15</v>
      </c>
      <c r="J580">
        <v>194.59</v>
      </c>
      <c r="K580">
        <v>35.090000000000003</v>
      </c>
      <c r="L580">
        <v>159.5</v>
      </c>
      <c r="M580">
        <v>-8</v>
      </c>
      <c r="N580" t="s">
        <v>66</v>
      </c>
    </row>
    <row r="581" spans="1:14" x14ac:dyDescent="0.25">
      <c r="A581" t="s">
        <v>180</v>
      </c>
      <c r="B581">
        <v>1897</v>
      </c>
      <c r="C581" s="1">
        <v>43033</v>
      </c>
      <c r="D581" t="str">
        <f>"216"</f>
        <v>216</v>
      </c>
      <c r="E581" s="1">
        <v>43008</v>
      </c>
      <c r="F581">
        <v>0</v>
      </c>
      <c r="G581" s="1">
        <v>43034</v>
      </c>
      <c r="H581" s="1">
        <v>43042</v>
      </c>
      <c r="I581" t="s">
        <v>15</v>
      </c>
      <c r="J581">
        <v>80</v>
      </c>
      <c r="K581">
        <v>14.43</v>
      </c>
      <c r="L581">
        <v>65.569999999999993</v>
      </c>
      <c r="M581">
        <v>-8</v>
      </c>
      <c r="N581" t="s">
        <v>66</v>
      </c>
    </row>
    <row r="582" spans="1:14" x14ac:dyDescent="0.25">
      <c r="A582" t="s">
        <v>119</v>
      </c>
      <c r="B582">
        <v>1890</v>
      </c>
      <c r="C582" s="1">
        <v>43033</v>
      </c>
      <c r="D582" t="s">
        <v>339</v>
      </c>
      <c r="E582" s="1">
        <v>42982</v>
      </c>
      <c r="F582">
        <v>0</v>
      </c>
      <c r="G582" s="1">
        <v>43034</v>
      </c>
      <c r="H582" s="1">
        <v>43042</v>
      </c>
      <c r="I582" t="s">
        <v>23</v>
      </c>
      <c r="J582" s="2">
        <v>5721.5</v>
      </c>
      <c r="K582">
        <v>520.14</v>
      </c>
      <c r="L582" s="2">
        <v>5201.3599999999997</v>
      </c>
      <c r="M582">
        <v>-8</v>
      </c>
      <c r="N582" t="s">
        <v>125</v>
      </c>
    </row>
    <row r="583" spans="1:14" x14ac:dyDescent="0.25">
      <c r="A583" t="s">
        <v>40</v>
      </c>
      <c r="B583">
        <v>2175</v>
      </c>
      <c r="C583" s="1">
        <v>43074</v>
      </c>
      <c r="D583" t="str">
        <f>"600004611900"</f>
        <v>600004611900</v>
      </c>
      <c r="E583" s="1">
        <v>43056</v>
      </c>
      <c r="F583">
        <v>0</v>
      </c>
      <c r="G583" s="1">
        <v>43075</v>
      </c>
      <c r="H583" s="1">
        <v>43084</v>
      </c>
      <c r="I583" t="s">
        <v>15</v>
      </c>
      <c r="J583">
        <v>0.43</v>
      </c>
      <c r="K583">
        <v>0.43</v>
      </c>
      <c r="L583">
        <v>0</v>
      </c>
      <c r="M583">
        <v>-9</v>
      </c>
      <c r="N583" t="s">
        <v>41</v>
      </c>
    </row>
    <row r="584" spans="1:14" x14ac:dyDescent="0.25">
      <c r="A584" t="s">
        <v>40</v>
      </c>
      <c r="B584">
        <v>2196</v>
      </c>
      <c r="C584" s="1">
        <v>43074</v>
      </c>
      <c r="D584" t="str">
        <f>"600004611891"</f>
        <v>600004611891</v>
      </c>
      <c r="E584" s="1">
        <v>43056</v>
      </c>
      <c r="F584">
        <v>0</v>
      </c>
      <c r="G584" s="1">
        <v>43075</v>
      </c>
      <c r="H584" s="1">
        <v>43084</v>
      </c>
      <c r="I584" t="s">
        <v>15</v>
      </c>
      <c r="J584">
        <v>13.96</v>
      </c>
      <c r="K584">
        <v>1.27</v>
      </c>
      <c r="L584">
        <v>12.69</v>
      </c>
      <c r="M584">
        <v>-9</v>
      </c>
      <c r="N584" t="s">
        <v>41</v>
      </c>
    </row>
    <row r="585" spans="1:14" x14ac:dyDescent="0.25">
      <c r="A585" t="s">
        <v>40</v>
      </c>
      <c r="B585">
        <v>2178</v>
      </c>
      <c r="C585" s="1">
        <v>43074</v>
      </c>
      <c r="D585" t="str">
        <f>"600004611889"</f>
        <v>600004611889</v>
      </c>
      <c r="E585" s="1">
        <v>43056</v>
      </c>
      <c r="F585">
        <v>0</v>
      </c>
      <c r="G585" s="1">
        <v>43075</v>
      </c>
      <c r="H585" s="1">
        <v>43084</v>
      </c>
      <c r="I585" t="s">
        <v>15</v>
      </c>
      <c r="J585">
        <v>83.72</v>
      </c>
      <c r="K585">
        <v>7.46</v>
      </c>
      <c r="L585">
        <v>76.260000000000005</v>
      </c>
      <c r="M585">
        <v>-9</v>
      </c>
      <c r="N585" t="s">
        <v>41</v>
      </c>
    </row>
    <row r="586" spans="1:14" x14ac:dyDescent="0.25">
      <c r="A586" t="s">
        <v>40</v>
      </c>
      <c r="B586">
        <v>2193</v>
      </c>
      <c r="C586" s="1">
        <v>43074</v>
      </c>
      <c r="D586" t="str">
        <f>"600004611887"</f>
        <v>600004611887</v>
      </c>
      <c r="E586" s="1">
        <v>43056</v>
      </c>
      <c r="F586">
        <v>0</v>
      </c>
      <c r="G586" s="1">
        <v>43075</v>
      </c>
      <c r="H586" s="1">
        <v>43084</v>
      </c>
      <c r="I586" t="s">
        <v>15</v>
      </c>
      <c r="J586">
        <v>23.21</v>
      </c>
      <c r="K586">
        <v>2.11</v>
      </c>
      <c r="L586">
        <v>21.1</v>
      </c>
      <c r="M586">
        <v>-9</v>
      </c>
      <c r="N586" t="s">
        <v>41</v>
      </c>
    </row>
    <row r="587" spans="1:14" x14ac:dyDescent="0.25">
      <c r="A587" t="s">
        <v>40</v>
      </c>
      <c r="B587">
        <v>2194</v>
      </c>
      <c r="C587" s="1">
        <v>43074</v>
      </c>
      <c r="D587" t="str">
        <f>"600004611902"</f>
        <v>600004611902</v>
      </c>
      <c r="E587" s="1">
        <v>43056</v>
      </c>
      <c r="F587">
        <v>0</v>
      </c>
      <c r="G587" s="1">
        <v>43075</v>
      </c>
      <c r="H587" s="1">
        <v>43084</v>
      </c>
      <c r="I587" t="s">
        <v>15</v>
      </c>
      <c r="J587">
        <v>13.96</v>
      </c>
      <c r="K587">
        <v>1.27</v>
      </c>
      <c r="L587">
        <v>12.69</v>
      </c>
      <c r="M587">
        <v>-9</v>
      </c>
      <c r="N587" t="s">
        <v>41</v>
      </c>
    </row>
    <row r="588" spans="1:14" x14ac:dyDescent="0.25">
      <c r="A588" t="s">
        <v>40</v>
      </c>
      <c r="B588">
        <v>2192</v>
      </c>
      <c r="C588" s="1">
        <v>43074</v>
      </c>
      <c r="D588" t="str">
        <f>"600004611881"</f>
        <v>600004611881</v>
      </c>
      <c r="E588" s="1">
        <v>43056</v>
      </c>
      <c r="F588">
        <v>0</v>
      </c>
      <c r="G588" s="1">
        <v>43075</v>
      </c>
      <c r="H588" s="1">
        <v>43084</v>
      </c>
      <c r="I588" t="s">
        <v>15</v>
      </c>
      <c r="J588">
        <v>59.21</v>
      </c>
      <c r="K588">
        <v>5.23</v>
      </c>
      <c r="L588">
        <v>53.98</v>
      </c>
      <c r="M588">
        <v>-9</v>
      </c>
      <c r="N588" t="s">
        <v>41</v>
      </c>
    </row>
    <row r="589" spans="1:14" x14ac:dyDescent="0.25">
      <c r="A589" t="s">
        <v>40</v>
      </c>
      <c r="B589">
        <v>2191</v>
      </c>
      <c r="C589" s="1">
        <v>43074</v>
      </c>
      <c r="D589" t="str">
        <f>"600004611882"</f>
        <v>600004611882</v>
      </c>
      <c r="E589" s="1">
        <v>43056</v>
      </c>
      <c r="F589">
        <v>0</v>
      </c>
      <c r="G589" s="1">
        <v>43075</v>
      </c>
      <c r="H589" s="1">
        <v>43084</v>
      </c>
      <c r="I589" t="s">
        <v>15</v>
      </c>
      <c r="J589">
        <v>24.9</v>
      </c>
      <c r="K589">
        <v>2.11</v>
      </c>
      <c r="L589">
        <v>22.79</v>
      </c>
      <c r="M589">
        <v>-9</v>
      </c>
      <c r="N589" t="s">
        <v>41</v>
      </c>
    </row>
    <row r="590" spans="1:14" x14ac:dyDescent="0.25">
      <c r="A590" t="s">
        <v>40</v>
      </c>
      <c r="B590">
        <v>2180</v>
      </c>
      <c r="C590" s="1">
        <v>43074</v>
      </c>
      <c r="D590" t="str">
        <f>"600004611890"</f>
        <v>600004611890</v>
      </c>
      <c r="E590" s="1">
        <v>43056</v>
      </c>
      <c r="F590">
        <v>0</v>
      </c>
      <c r="G590" s="1">
        <v>43075</v>
      </c>
      <c r="H590" s="1">
        <v>43084</v>
      </c>
      <c r="I590" t="s">
        <v>15</v>
      </c>
      <c r="J590">
        <v>16.68</v>
      </c>
      <c r="K590">
        <v>1.37</v>
      </c>
      <c r="L590">
        <v>15.31</v>
      </c>
      <c r="M590">
        <v>-9</v>
      </c>
      <c r="N590" t="s">
        <v>41</v>
      </c>
    </row>
    <row r="591" spans="1:14" x14ac:dyDescent="0.25">
      <c r="A591" t="s">
        <v>40</v>
      </c>
      <c r="B591">
        <v>2181</v>
      </c>
      <c r="C591" s="1">
        <v>43074</v>
      </c>
      <c r="D591" t="str">
        <f>"600004611883"</f>
        <v>600004611883</v>
      </c>
      <c r="E591" s="1">
        <v>43056</v>
      </c>
      <c r="F591">
        <v>0</v>
      </c>
      <c r="G591" s="1">
        <v>43075</v>
      </c>
      <c r="H591" s="1">
        <v>43084</v>
      </c>
      <c r="I591" t="s">
        <v>15</v>
      </c>
      <c r="J591">
        <v>57.6</v>
      </c>
      <c r="K591">
        <v>5.09</v>
      </c>
      <c r="L591">
        <v>52.51</v>
      </c>
      <c r="M591">
        <v>-9</v>
      </c>
      <c r="N591" t="s">
        <v>41</v>
      </c>
    </row>
    <row r="592" spans="1:14" x14ac:dyDescent="0.25">
      <c r="A592" t="s">
        <v>40</v>
      </c>
      <c r="B592">
        <v>2182</v>
      </c>
      <c r="C592" s="1">
        <v>43074</v>
      </c>
      <c r="D592" t="str">
        <f>"600004611886"</f>
        <v>600004611886</v>
      </c>
      <c r="E592" s="1">
        <v>43056</v>
      </c>
      <c r="F592">
        <v>0</v>
      </c>
      <c r="G592" s="1">
        <v>43075</v>
      </c>
      <c r="H592" s="1">
        <v>43084</v>
      </c>
      <c r="I592" t="s">
        <v>15</v>
      </c>
      <c r="J592">
        <v>0.43</v>
      </c>
      <c r="K592">
        <v>0.43</v>
      </c>
      <c r="L592">
        <v>0</v>
      </c>
      <c r="M592">
        <v>-9</v>
      </c>
      <c r="N592" t="s">
        <v>41</v>
      </c>
    </row>
    <row r="593" spans="1:14" x14ac:dyDescent="0.25">
      <c r="A593" t="s">
        <v>40</v>
      </c>
      <c r="B593">
        <v>2173</v>
      </c>
      <c r="C593" s="1">
        <v>43074</v>
      </c>
      <c r="D593" t="str">
        <f>"600004611878"</f>
        <v>600004611878</v>
      </c>
      <c r="E593" s="1">
        <v>43056</v>
      </c>
      <c r="F593">
        <v>0</v>
      </c>
      <c r="G593" s="1">
        <v>43075</v>
      </c>
      <c r="H593" s="1">
        <v>43084</v>
      </c>
      <c r="I593" t="s">
        <v>15</v>
      </c>
      <c r="J593">
        <v>27.2</v>
      </c>
      <c r="K593">
        <v>2.3199999999999998</v>
      </c>
      <c r="L593">
        <v>24.88</v>
      </c>
      <c r="M593">
        <v>-9</v>
      </c>
      <c r="N593" t="s">
        <v>41</v>
      </c>
    </row>
    <row r="594" spans="1:14" x14ac:dyDescent="0.25">
      <c r="A594" t="s">
        <v>40</v>
      </c>
      <c r="B594">
        <v>2197</v>
      </c>
      <c r="C594" s="1">
        <v>43074</v>
      </c>
      <c r="D594" t="str">
        <f>"600004611899"</f>
        <v>600004611899</v>
      </c>
      <c r="E594" s="1">
        <v>43056</v>
      </c>
      <c r="F594">
        <v>0</v>
      </c>
      <c r="G594" s="1">
        <v>43075</v>
      </c>
      <c r="H594" s="1">
        <v>43084</v>
      </c>
      <c r="I594" t="s">
        <v>15</v>
      </c>
      <c r="J594">
        <v>0.61</v>
      </c>
      <c r="K594">
        <v>0.61</v>
      </c>
      <c r="L594">
        <v>0</v>
      </c>
      <c r="M594">
        <v>-9</v>
      </c>
      <c r="N594" t="s">
        <v>41</v>
      </c>
    </row>
    <row r="595" spans="1:14" x14ac:dyDescent="0.25">
      <c r="A595" t="s">
        <v>40</v>
      </c>
      <c r="B595">
        <v>2195</v>
      </c>
      <c r="C595" s="1">
        <v>43074</v>
      </c>
      <c r="D595" t="str">
        <f>"600004611903"</f>
        <v>600004611903</v>
      </c>
      <c r="E595" s="1">
        <v>43056</v>
      </c>
      <c r="F595">
        <v>0</v>
      </c>
      <c r="G595" s="1">
        <v>43075</v>
      </c>
      <c r="H595" s="1">
        <v>43084</v>
      </c>
      <c r="I595" t="s">
        <v>15</v>
      </c>
      <c r="J595">
        <v>0.4</v>
      </c>
      <c r="K595">
        <v>0.4</v>
      </c>
      <c r="L595">
        <v>0</v>
      </c>
      <c r="M595">
        <v>-9</v>
      </c>
      <c r="N595" t="s">
        <v>41</v>
      </c>
    </row>
    <row r="596" spans="1:14" x14ac:dyDescent="0.25">
      <c r="A596" t="s">
        <v>40</v>
      </c>
      <c r="B596">
        <v>2198</v>
      </c>
      <c r="C596" s="1">
        <v>43074</v>
      </c>
      <c r="D596" t="str">
        <f>"600004611896"</f>
        <v>600004611896</v>
      </c>
      <c r="E596" s="1">
        <v>43056</v>
      </c>
      <c r="F596">
        <v>0</v>
      </c>
      <c r="G596" s="1">
        <v>43075</v>
      </c>
      <c r="H596" s="1">
        <v>43084</v>
      </c>
      <c r="I596" t="s">
        <v>15</v>
      </c>
      <c r="J596">
        <v>11.33</v>
      </c>
      <c r="K596">
        <v>0.4</v>
      </c>
      <c r="L596">
        <v>10.93</v>
      </c>
      <c r="M596">
        <v>-9</v>
      </c>
      <c r="N596" t="s">
        <v>41</v>
      </c>
    </row>
    <row r="597" spans="1:14" x14ac:dyDescent="0.25">
      <c r="A597" t="s">
        <v>40</v>
      </c>
      <c r="B597">
        <v>2188</v>
      </c>
      <c r="C597" s="1">
        <v>43074</v>
      </c>
      <c r="D597" t="str">
        <f>"600004611901"</f>
        <v>600004611901</v>
      </c>
      <c r="E597" s="1">
        <v>43056</v>
      </c>
      <c r="F597">
        <v>0</v>
      </c>
      <c r="G597" s="1">
        <v>43075</v>
      </c>
      <c r="H597" s="1">
        <v>43084</v>
      </c>
      <c r="I597" t="s">
        <v>15</v>
      </c>
      <c r="J597">
        <v>0.35</v>
      </c>
      <c r="K597">
        <v>0.35</v>
      </c>
      <c r="L597">
        <v>0</v>
      </c>
      <c r="M597">
        <v>-9</v>
      </c>
      <c r="N597" t="s">
        <v>41</v>
      </c>
    </row>
    <row r="598" spans="1:14" x14ac:dyDescent="0.25">
      <c r="A598" t="s">
        <v>40</v>
      </c>
      <c r="B598">
        <v>2172</v>
      </c>
      <c r="C598" s="1">
        <v>43074</v>
      </c>
      <c r="D598" t="str">
        <f>"600004611895"</f>
        <v>600004611895</v>
      </c>
      <c r="E598" s="1">
        <v>43056</v>
      </c>
      <c r="F598">
        <v>0</v>
      </c>
      <c r="G598" s="1">
        <v>43075</v>
      </c>
      <c r="H598" s="1">
        <v>43084</v>
      </c>
      <c r="I598" t="s">
        <v>15</v>
      </c>
      <c r="J598">
        <v>46.15</v>
      </c>
      <c r="K598">
        <v>4.05</v>
      </c>
      <c r="L598">
        <v>42.1</v>
      </c>
      <c r="M598">
        <v>-9</v>
      </c>
      <c r="N598" t="s">
        <v>41</v>
      </c>
    </row>
    <row r="599" spans="1:14" x14ac:dyDescent="0.25">
      <c r="A599" t="s">
        <v>40</v>
      </c>
      <c r="B599">
        <v>2186</v>
      </c>
      <c r="C599" s="1">
        <v>43074</v>
      </c>
      <c r="D599" t="str">
        <f>"600004611894"</f>
        <v>600004611894</v>
      </c>
      <c r="E599" s="1">
        <v>43056</v>
      </c>
      <c r="F599">
        <v>0</v>
      </c>
      <c r="G599" s="1">
        <v>43075</v>
      </c>
      <c r="H599" s="1">
        <v>43084</v>
      </c>
      <c r="I599" t="s">
        <v>15</v>
      </c>
      <c r="J599">
        <v>23.21</v>
      </c>
      <c r="K599">
        <v>2.11</v>
      </c>
      <c r="L599">
        <v>21.1</v>
      </c>
      <c r="M599">
        <v>-9</v>
      </c>
      <c r="N599" t="s">
        <v>41</v>
      </c>
    </row>
    <row r="600" spans="1:14" x14ac:dyDescent="0.25">
      <c r="A600" t="s">
        <v>40</v>
      </c>
      <c r="B600">
        <v>2176</v>
      </c>
      <c r="C600" s="1">
        <v>43074</v>
      </c>
      <c r="D600" t="str">
        <f>"600004611897"</f>
        <v>600004611897</v>
      </c>
      <c r="E600" s="1">
        <v>43056</v>
      </c>
      <c r="F600">
        <v>0</v>
      </c>
      <c r="G600" s="1">
        <v>43075</v>
      </c>
      <c r="H600" s="1">
        <v>43084</v>
      </c>
      <c r="I600" t="s">
        <v>15</v>
      </c>
      <c r="J600">
        <v>0.35</v>
      </c>
      <c r="K600">
        <v>0.35</v>
      </c>
      <c r="L600">
        <v>0</v>
      </c>
      <c r="M600">
        <v>-9</v>
      </c>
      <c r="N600" t="s">
        <v>41</v>
      </c>
    </row>
    <row r="601" spans="1:14" x14ac:dyDescent="0.25">
      <c r="A601" t="s">
        <v>40</v>
      </c>
      <c r="B601">
        <v>2184</v>
      </c>
      <c r="C601" s="1">
        <v>43074</v>
      </c>
      <c r="D601" t="str">
        <f>"600004611904"</f>
        <v>600004611904</v>
      </c>
      <c r="E601" s="1">
        <v>43056</v>
      </c>
      <c r="F601">
        <v>0</v>
      </c>
      <c r="G601" s="1">
        <v>43075</v>
      </c>
      <c r="H601" s="1">
        <v>43084</v>
      </c>
      <c r="I601" t="s">
        <v>15</v>
      </c>
      <c r="J601">
        <v>27.07</v>
      </c>
      <c r="K601">
        <v>2.46</v>
      </c>
      <c r="L601">
        <v>24.61</v>
      </c>
      <c r="M601">
        <v>-9</v>
      </c>
      <c r="N601" t="s">
        <v>41</v>
      </c>
    </row>
    <row r="602" spans="1:14" x14ac:dyDescent="0.25">
      <c r="A602" t="s">
        <v>40</v>
      </c>
      <c r="B602">
        <v>2177</v>
      </c>
      <c r="C602" s="1">
        <v>43074</v>
      </c>
      <c r="D602" t="str">
        <f>"600004611888"</f>
        <v>600004611888</v>
      </c>
      <c r="E602" s="1">
        <v>43056</v>
      </c>
      <c r="F602">
        <v>0</v>
      </c>
      <c r="G602" s="1">
        <v>43075</v>
      </c>
      <c r="H602" s="1">
        <v>43084</v>
      </c>
      <c r="I602" t="s">
        <v>15</v>
      </c>
      <c r="J602">
        <v>139.29</v>
      </c>
      <c r="K602">
        <v>12.51</v>
      </c>
      <c r="L602">
        <v>126.78</v>
      </c>
      <c r="M602">
        <v>-9</v>
      </c>
      <c r="N602" t="s">
        <v>41</v>
      </c>
    </row>
    <row r="603" spans="1:14" x14ac:dyDescent="0.25">
      <c r="A603" t="s">
        <v>40</v>
      </c>
      <c r="B603">
        <v>2187</v>
      </c>
      <c r="C603" s="1">
        <v>43074</v>
      </c>
      <c r="D603" t="str">
        <f>"600004611893"</f>
        <v>600004611893</v>
      </c>
      <c r="E603" s="1">
        <v>43056</v>
      </c>
      <c r="F603">
        <v>0</v>
      </c>
      <c r="G603" s="1">
        <v>43075</v>
      </c>
      <c r="H603" s="1">
        <v>43084</v>
      </c>
      <c r="I603" t="s">
        <v>15</v>
      </c>
      <c r="J603">
        <v>16.73</v>
      </c>
      <c r="K603">
        <v>1.37</v>
      </c>
      <c r="L603">
        <v>15.36</v>
      </c>
      <c r="M603">
        <v>-9</v>
      </c>
      <c r="N603" t="s">
        <v>41</v>
      </c>
    </row>
    <row r="604" spans="1:14" x14ac:dyDescent="0.25">
      <c r="A604" t="s">
        <v>40</v>
      </c>
      <c r="B604">
        <v>2185</v>
      </c>
      <c r="C604" s="1">
        <v>43074</v>
      </c>
      <c r="D604" t="str">
        <f>"600004611880"</f>
        <v>600004611880</v>
      </c>
      <c r="E604" s="1">
        <v>43056</v>
      </c>
      <c r="F604">
        <v>0</v>
      </c>
      <c r="G604" s="1">
        <v>43075</v>
      </c>
      <c r="H604" s="1">
        <v>43084</v>
      </c>
      <c r="I604" t="s">
        <v>15</v>
      </c>
      <c r="J604">
        <v>55.94</v>
      </c>
      <c r="K604">
        <v>4.9400000000000004</v>
      </c>
      <c r="L604">
        <v>51</v>
      </c>
      <c r="M604">
        <v>-9</v>
      </c>
      <c r="N604" t="s">
        <v>41</v>
      </c>
    </row>
    <row r="605" spans="1:14" x14ac:dyDescent="0.25">
      <c r="A605" t="s">
        <v>40</v>
      </c>
      <c r="B605">
        <v>2183</v>
      </c>
      <c r="C605" s="1">
        <v>43074</v>
      </c>
      <c r="D605" t="str">
        <f>"600004611885"</f>
        <v>600004611885</v>
      </c>
      <c r="E605" s="1">
        <v>43056</v>
      </c>
      <c r="F605">
        <v>0</v>
      </c>
      <c r="G605" s="1">
        <v>43075</v>
      </c>
      <c r="H605" s="1">
        <v>43084</v>
      </c>
      <c r="I605" t="s">
        <v>15</v>
      </c>
      <c r="J605">
        <v>10.59</v>
      </c>
      <c r="K605">
        <v>0.35</v>
      </c>
      <c r="L605">
        <v>10.24</v>
      </c>
      <c r="M605">
        <v>-9</v>
      </c>
      <c r="N605" t="s">
        <v>41</v>
      </c>
    </row>
    <row r="606" spans="1:14" x14ac:dyDescent="0.25">
      <c r="A606" t="s">
        <v>40</v>
      </c>
      <c r="B606">
        <v>2189</v>
      </c>
      <c r="C606" s="1">
        <v>43074</v>
      </c>
      <c r="D606" t="str">
        <f>"600004611879"</f>
        <v>600004611879</v>
      </c>
      <c r="E606" s="1">
        <v>43056</v>
      </c>
      <c r="F606">
        <v>0</v>
      </c>
      <c r="G606" s="1">
        <v>43075</v>
      </c>
      <c r="H606" s="1">
        <v>43084</v>
      </c>
      <c r="I606" t="s">
        <v>15</v>
      </c>
      <c r="J606">
        <v>55.94</v>
      </c>
      <c r="K606">
        <v>4.9400000000000004</v>
      </c>
      <c r="L606">
        <v>51</v>
      </c>
      <c r="M606">
        <v>-9</v>
      </c>
      <c r="N606" t="s">
        <v>41</v>
      </c>
    </row>
    <row r="607" spans="1:14" x14ac:dyDescent="0.25">
      <c r="A607" t="s">
        <v>40</v>
      </c>
      <c r="B607">
        <v>2179</v>
      </c>
      <c r="C607" s="1">
        <v>43074</v>
      </c>
      <c r="D607" t="str">
        <f>"600004611892"</f>
        <v>600004611892</v>
      </c>
      <c r="E607" s="1">
        <v>43056</v>
      </c>
      <c r="F607">
        <v>0</v>
      </c>
      <c r="G607" s="1">
        <v>43075</v>
      </c>
      <c r="H607" s="1">
        <v>43084</v>
      </c>
      <c r="I607" t="s">
        <v>15</v>
      </c>
      <c r="J607">
        <v>23.21</v>
      </c>
      <c r="K607">
        <v>2.11</v>
      </c>
      <c r="L607">
        <v>21.1</v>
      </c>
      <c r="M607">
        <v>-9</v>
      </c>
      <c r="N607" t="s">
        <v>41</v>
      </c>
    </row>
    <row r="608" spans="1:14" x14ac:dyDescent="0.25">
      <c r="A608" t="s">
        <v>40</v>
      </c>
      <c r="B608">
        <v>2199</v>
      </c>
      <c r="C608" s="1">
        <v>43074</v>
      </c>
      <c r="D608" t="str">
        <f>"600004611884"</f>
        <v>600004611884</v>
      </c>
      <c r="E608" s="1">
        <v>43056</v>
      </c>
      <c r="F608">
        <v>0</v>
      </c>
      <c r="G608" s="1">
        <v>43075</v>
      </c>
      <c r="H608" s="1">
        <v>43084</v>
      </c>
      <c r="I608" t="s">
        <v>15</v>
      </c>
      <c r="J608">
        <v>0.46</v>
      </c>
      <c r="K608">
        <v>0.46</v>
      </c>
      <c r="L608">
        <v>0</v>
      </c>
      <c r="M608">
        <v>-9</v>
      </c>
      <c r="N608" t="s">
        <v>41</v>
      </c>
    </row>
    <row r="609" spans="1:14" x14ac:dyDescent="0.25">
      <c r="A609" t="s">
        <v>40</v>
      </c>
      <c r="B609">
        <v>2190</v>
      </c>
      <c r="C609" s="1">
        <v>43074</v>
      </c>
      <c r="D609" t="str">
        <f>"600004611898"</f>
        <v>600004611898</v>
      </c>
      <c r="E609" s="1">
        <v>43056</v>
      </c>
      <c r="F609">
        <v>0</v>
      </c>
      <c r="G609" s="1">
        <v>43075</v>
      </c>
      <c r="H609" s="1">
        <v>43084</v>
      </c>
      <c r="I609" t="s">
        <v>15</v>
      </c>
      <c r="J609">
        <v>15.95</v>
      </c>
      <c r="K609">
        <v>0.61</v>
      </c>
      <c r="L609">
        <v>15.34</v>
      </c>
      <c r="M609">
        <v>-9</v>
      </c>
      <c r="N609" t="s">
        <v>41</v>
      </c>
    </row>
    <row r="610" spans="1:14" x14ac:dyDescent="0.25">
      <c r="A610" t="s">
        <v>286</v>
      </c>
      <c r="B610">
        <v>860</v>
      </c>
      <c r="C610" s="1">
        <v>42871</v>
      </c>
      <c r="D610" t="str">
        <f>"35"</f>
        <v>35</v>
      </c>
      <c r="E610" s="1">
        <v>42852</v>
      </c>
      <c r="F610">
        <v>0</v>
      </c>
      <c r="G610" s="1">
        <v>42873</v>
      </c>
      <c r="H610" s="1">
        <v>42882</v>
      </c>
      <c r="I610" t="s">
        <v>15</v>
      </c>
      <c r="J610">
        <v>517.28</v>
      </c>
      <c r="K610">
        <v>93.28</v>
      </c>
      <c r="L610">
        <v>424</v>
      </c>
      <c r="M610">
        <v>-9</v>
      </c>
      <c r="N610" t="s">
        <v>287</v>
      </c>
    </row>
    <row r="611" spans="1:14" x14ac:dyDescent="0.25">
      <c r="A611" t="s">
        <v>31</v>
      </c>
      <c r="B611">
        <v>1572</v>
      </c>
      <c r="C611" s="1">
        <v>42971</v>
      </c>
      <c r="D611" t="s">
        <v>340</v>
      </c>
      <c r="E611" s="1">
        <v>42951</v>
      </c>
      <c r="F611">
        <v>0</v>
      </c>
      <c r="G611" s="1">
        <v>42972</v>
      </c>
      <c r="H611" s="1">
        <v>42981</v>
      </c>
      <c r="I611" t="s">
        <v>15</v>
      </c>
      <c r="J611" s="2">
        <v>2172.0300000000002</v>
      </c>
      <c r="K611">
        <v>103.43</v>
      </c>
      <c r="L611" s="2">
        <v>2068.6</v>
      </c>
      <c r="M611">
        <v>-9</v>
      </c>
      <c r="N611" t="s">
        <v>33</v>
      </c>
    </row>
    <row r="612" spans="1:14" x14ac:dyDescent="0.25">
      <c r="A612" t="s">
        <v>31</v>
      </c>
      <c r="B612">
        <v>1387</v>
      </c>
      <c r="C612" s="1">
        <v>42942</v>
      </c>
      <c r="D612" t="s">
        <v>341</v>
      </c>
      <c r="E612" s="1">
        <v>42922</v>
      </c>
      <c r="F612">
        <v>0</v>
      </c>
      <c r="G612" s="1">
        <v>42943</v>
      </c>
      <c r="H612" s="1">
        <v>42952</v>
      </c>
      <c r="I612" t="s">
        <v>15</v>
      </c>
      <c r="J612" s="2">
        <v>1965.17</v>
      </c>
      <c r="K612">
        <v>93.58</v>
      </c>
      <c r="L612" s="2">
        <v>1871.59</v>
      </c>
      <c r="M612">
        <v>-9</v>
      </c>
      <c r="N612" t="s">
        <v>33</v>
      </c>
    </row>
    <row r="613" spans="1:14" x14ac:dyDescent="0.25">
      <c r="A613" t="s">
        <v>31</v>
      </c>
      <c r="B613">
        <v>1388</v>
      </c>
      <c r="C613" s="1">
        <v>42942</v>
      </c>
      <c r="D613" t="s">
        <v>342</v>
      </c>
      <c r="E613" s="1">
        <v>42922</v>
      </c>
      <c r="F613">
        <v>0</v>
      </c>
      <c r="G613" s="1">
        <v>42943</v>
      </c>
      <c r="H613" s="1">
        <v>42952</v>
      </c>
      <c r="I613" t="s">
        <v>15</v>
      </c>
      <c r="J613">
        <v>9.8800000000000008</v>
      </c>
      <c r="K613">
        <v>0.47</v>
      </c>
      <c r="L613">
        <v>9.41</v>
      </c>
      <c r="M613">
        <v>-9</v>
      </c>
      <c r="N613" t="s">
        <v>33</v>
      </c>
    </row>
    <row r="614" spans="1:14" x14ac:dyDescent="0.25">
      <c r="A614" t="s">
        <v>241</v>
      </c>
      <c r="B614">
        <v>752</v>
      </c>
      <c r="C614" s="1">
        <v>42846</v>
      </c>
      <c r="D614" t="s">
        <v>343</v>
      </c>
      <c r="E614" s="1">
        <v>42824</v>
      </c>
      <c r="F614">
        <v>0</v>
      </c>
      <c r="G614" s="1">
        <v>42846</v>
      </c>
      <c r="H614" s="1">
        <v>42855</v>
      </c>
      <c r="I614" t="s">
        <v>15</v>
      </c>
      <c r="J614">
        <v>226.92</v>
      </c>
      <c r="K614">
        <v>40.92</v>
      </c>
      <c r="L614">
        <v>186</v>
      </c>
      <c r="M614">
        <v>-9</v>
      </c>
      <c r="N614" t="s">
        <v>145</v>
      </c>
    </row>
    <row r="615" spans="1:14" x14ac:dyDescent="0.25">
      <c r="A615" t="s">
        <v>49</v>
      </c>
      <c r="B615">
        <v>756</v>
      </c>
      <c r="C615" s="1">
        <v>42849</v>
      </c>
      <c r="D615" t="s">
        <v>344</v>
      </c>
      <c r="E615" s="1">
        <v>42838</v>
      </c>
      <c r="F615">
        <v>0</v>
      </c>
      <c r="G615" s="1">
        <v>42849</v>
      </c>
      <c r="H615" s="1">
        <v>42858</v>
      </c>
      <c r="I615" t="s">
        <v>15</v>
      </c>
      <c r="J615">
        <v>170</v>
      </c>
      <c r="K615">
        <v>30.65</v>
      </c>
      <c r="L615">
        <v>139.35</v>
      </c>
      <c r="M615">
        <v>-9</v>
      </c>
      <c r="N615" t="s">
        <v>20</v>
      </c>
    </row>
    <row r="616" spans="1:14" x14ac:dyDescent="0.25">
      <c r="A616" t="s">
        <v>345</v>
      </c>
      <c r="B616">
        <v>940</v>
      </c>
      <c r="C616" s="1">
        <v>42873</v>
      </c>
      <c r="D616" t="str">
        <f>"1086"</f>
        <v>1086</v>
      </c>
      <c r="E616" s="1">
        <v>42852</v>
      </c>
      <c r="F616">
        <v>0</v>
      </c>
      <c r="G616" s="1">
        <v>42873</v>
      </c>
      <c r="H616" s="1">
        <v>42882</v>
      </c>
      <c r="I616" t="s">
        <v>15</v>
      </c>
      <c r="J616">
        <v>204.96</v>
      </c>
      <c r="K616">
        <v>36.96</v>
      </c>
      <c r="L616">
        <v>168</v>
      </c>
      <c r="M616">
        <v>-9</v>
      </c>
      <c r="N616" t="s">
        <v>16</v>
      </c>
    </row>
    <row r="617" spans="1:14" x14ac:dyDescent="0.25">
      <c r="A617" t="s">
        <v>180</v>
      </c>
      <c r="B617">
        <v>1384</v>
      </c>
      <c r="C617" s="1">
        <v>42942</v>
      </c>
      <c r="D617" t="str">
        <f>"145"</f>
        <v>145</v>
      </c>
      <c r="E617" s="1">
        <v>42916</v>
      </c>
      <c r="F617">
        <v>0</v>
      </c>
      <c r="G617" s="1">
        <v>42943</v>
      </c>
      <c r="H617" s="1">
        <v>42952</v>
      </c>
      <c r="I617" t="s">
        <v>15</v>
      </c>
      <c r="J617">
        <v>80</v>
      </c>
      <c r="K617">
        <v>14.43</v>
      </c>
      <c r="L617">
        <v>65.569999999999993</v>
      </c>
      <c r="M617">
        <v>-9</v>
      </c>
      <c r="N617" t="s">
        <v>66</v>
      </c>
    </row>
    <row r="618" spans="1:14" x14ac:dyDescent="0.25">
      <c r="A618" t="s">
        <v>180</v>
      </c>
      <c r="B618">
        <v>1383</v>
      </c>
      <c r="C618" s="1">
        <v>42942</v>
      </c>
      <c r="D618" t="str">
        <f>"145"</f>
        <v>145</v>
      </c>
      <c r="E618" s="1">
        <v>42916</v>
      </c>
      <c r="F618">
        <v>0</v>
      </c>
      <c r="G618" s="1">
        <v>42943</v>
      </c>
      <c r="H618" s="1">
        <v>42952</v>
      </c>
      <c r="I618" t="s">
        <v>15</v>
      </c>
      <c r="J618">
        <v>194.59</v>
      </c>
      <c r="K618">
        <v>35.090000000000003</v>
      </c>
      <c r="L618">
        <v>159.5</v>
      </c>
      <c r="M618">
        <v>-9</v>
      </c>
      <c r="N618" t="s">
        <v>66</v>
      </c>
    </row>
    <row r="619" spans="1:14" x14ac:dyDescent="0.25">
      <c r="A619" t="s">
        <v>180</v>
      </c>
      <c r="B619">
        <v>1382</v>
      </c>
      <c r="C619" s="1">
        <v>42942</v>
      </c>
      <c r="D619" t="str">
        <f>"145"</f>
        <v>145</v>
      </c>
      <c r="E619" s="1">
        <v>42916</v>
      </c>
      <c r="F619">
        <v>0</v>
      </c>
      <c r="G619" s="1">
        <v>42943</v>
      </c>
      <c r="H619" s="1">
        <v>42952</v>
      </c>
      <c r="I619" t="s">
        <v>15</v>
      </c>
      <c r="J619">
        <v>500</v>
      </c>
      <c r="K619">
        <v>90.16</v>
      </c>
      <c r="L619">
        <v>409.84</v>
      </c>
      <c r="M619">
        <v>-9</v>
      </c>
      <c r="N619" t="s">
        <v>66</v>
      </c>
    </row>
    <row r="620" spans="1:14" x14ac:dyDescent="0.25">
      <c r="A620" t="s">
        <v>180</v>
      </c>
      <c r="B620">
        <v>1386</v>
      </c>
      <c r="C620" s="1">
        <v>42942</v>
      </c>
      <c r="D620" t="str">
        <f>"145"</f>
        <v>145</v>
      </c>
      <c r="E620" s="1">
        <v>42916</v>
      </c>
      <c r="F620">
        <v>0</v>
      </c>
      <c r="G620" s="1">
        <v>42943</v>
      </c>
      <c r="H620" s="1">
        <v>42952</v>
      </c>
      <c r="I620" t="s">
        <v>15</v>
      </c>
      <c r="J620">
        <v>50</v>
      </c>
      <c r="K620">
        <v>9.02</v>
      </c>
      <c r="L620">
        <v>40.98</v>
      </c>
      <c r="M620">
        <v>-9</v>
      </c>
      <c r="N620" t="s">
        <v>66</v>
      </c>
    </row>
    <row r="621" spans="1:14" x14ac:dyDescent="0.25">
      <c r="A621" t="s">
        <v>180</v>
      </c>
      <c r="B621">
        <v>1385</v>
      </c>
      <c r="C621" s="1">
        <v>42942</v>
      </c>
      <c r="D621" t="str">
        <f>"145"</f>
        <v>145</v>
      </c>
      <c r="E621" s="1">
        <v>42916</v>
      </c>
      <c r="F621">
        <v>0</v>
      </c>
      <c r="G621" s="1">
        <v>42943</v>
      </c>
      <c r="H621" s="1">
        <v>42952</v>
      </c>
      <c r="I621" t="s">
        <v>15</v>
      </c>
      <c r="J621">
        <v>500</v>
      </c>
      <c r="K621">
        <v>90.16</v>
      </c>
      <c r="L621">
        <v>409.84</v>
      </c>
      <c r="M621">
        <v>-9</v>
      </c>
      <c r="N621" t="s">
        <v>66</v>
      </c>
    </row>
    <row r="622" spans="1:14" x14ac:dyDescent="0.25">
      <c r="A622" t="s">
        <v>151</v>
      </c>
      <c r="B622">
        <v>1993</v>
      </c>
      <c r="C622" s="1">
        <v>43049</v>
      </c>
      <c r="D622" t="s">
        <v>346</v>
      </c>
      <c r="E622" s="1">
        <v>43020</v>
      </c>
      <c r="F622">
        <v>0</v>
      </c>
      <c r="G622" s="1">
        <v>43049</v>
      </c>
      <c r="H622" s="1">
        <v>43058</v>
      </c>
      <c r="I622" t="s">
        <v>15</v>
      </c>
      <c r="J622">
        <v>362.91</v>
      </c>
      <c r="K622">
        <v>17.28</v>
      </c>
      <c r="L622">
        <v>345.63</v>
      </c>
      <c r="M622">
        <v>-9</v>
      </c>
      <c r="N622" t="s">
        <v>153</v>
      </c>
    </row>
    <row r="623" spans="1:14" x14ac:dyDescent="0.25">
      <c r="A623" t="s">
        <v>151</v>
      </c>
      <c r="B623">
        <v>1933</v>
      </c>
      <c r="C623" s="1">
        <v>43033</v>
      </c>
      <c r="D623" t="s">
        <v>347</v>
      </c>
      <c r="E623" s="1">
        <v>43007</v>
      </c>
      <c r="F623">
        <v>0</v>
      </c>
      <c r="G623" s="1">
        <v>43034</v>
      </c>
      <c r="H623" s="1">
        <v>43043</v>
      </c>
      <c r="I623" t="s">
        <v>15</v>
      </c>
      <c r="J623">
        <v>145.16</v>
      </c>
      <c r="K623">
        <v>6.91</v>
      </c>
      <c r="L623">
        <v>138.25</v>
      </c>
      <c r="M623">
        <v>-9</v>
      </c>
      <c r="N623" t="s">
        <v>153</v>
      </c>
    </row>
    <row r="624" spans="1:14" x14ac:dyDescent="0.25">
      <c r="A624" t="s">
        <v>151</v>
      </c>
      <c r="B624">
        <v>1934</v>
      </c>
      <c r="C624" s="1">
        <v>43033</v>
      </c>
      <c r="D624" t="s">
        <v>348</v>
      </c>
      <c r="E624" s="1">
        <v>43007</v>
      </c>
      <c r="F624">
        <v>0</v>
      </c>
      <c r="G624" s="1">
        <v>43034</v>
      </c>
      <c r="H624" s="1">
        <v>43043</v>
      </c>
      <c r="I624" t="s">
        <v>15</v>
      </c>
      <c r="J624">
        <v>228.11</v>
      </c>
      <c r="K624">
        <v>10.86</v>
      </c>
      <c r="L624">
        <v>217.25</v>
      </c>
      <c r="M624">
        <v>-9</v>
      </c>
      <c r="N624" t="s">
        <v>153</v>
      </c>
    </row>
    <row r="625" spans="1:14" x14ac:dyDescent="0.25">
      <c r="A625" t="s">
        <v>123</v>
      </c>
      <c r="B625">
        <v>746</v>
      </c>
      <c r="C625" s="1">
        <v>42846</v>
      </c>
      <c r="D625" t="s">
        <v>349</v>
      </c>
      <c r="E625" s="1">
        <v>42794</v>
      </c>
      <c r="F625">
        <v>0</v>
      </c>
      <c r="G625" s="1">
        <v>42846</v>
      </c>
      <c r="H625" s="1">
        <v>42855</v>
      </c>
      <c r="I625" t="s">
        <v>15</v>
      </c>
      <c r="J625" s="2">
        <v>2500</v>
      </c>
      <c r="K625">
        <v>0</v>
      </c>
      <c r="L625" s="2">
        <v>2500</v>
      </c>
      <c r="M625">
        <v>-9</v>
      </c>
      <c r="N625" t="s">
        <v>125</v>
      </c>
    </row>
    <row r="626" spans="1:14" x14ac:dyDescent="0.25">
      <c r="A626" t="s">
        <v>283</v>
      </c>
      <c r="B626">
        <v>751</v>
      </c>
      <c r="C626" s="1">
        <v>42846</v>
      </c>
      <c r="D626" s="4">
        <v>42826</v>
      </c>
      <c r="E626" s="1">
        <v>42825</v>
      </c>
      <c r="F626">
        <v>0</v>
      </c>
      <c r="G626" s="1">
        <v>42846</v>
      </c>
      <c r="H626" s="1">
        <v>42855</v>
      </c>
      <c r="I626" t="s">
        <v>15</v>
      </c>
      <c r="J626" s="2">
        <v>1282.82</v>
      </c>
      <c r="K626">
        <v>231.33</v>
      </c>
      <c r="L626" s="2">
        <v>1051.49</v>
      </c>
      <c r="M626">
        <v>-9</v>
      </c>
      <c r="N626" t="s">
        <v>129</v>
      </c>
    </row>
    <row r="627" spans="1:14" x14ac:dyDescent="0.25">
      <c r="A627" t="s">
        <v>256</v>
      </c>
      <c r="B627">
        <v>735</v>
      </c>
      <c r="C627" s="1">
        <v>42845</v>
      </c>
      <c r="D627" t="s">
        <v>350</v>
      </c>
      <c r="E627" s="1">
        <v>42825</v>
      </c>
      <c r="F627">
        <v>0</v>
      </c>
      <c r="G627" s="1">
        <v>42846</v>
      </c>
      <c r="H627" s="1">
        <v>42855</v>
      </c>
      <c r="I627" t="s">
        <v>15</v>
      </c>
      <c r="J627" s="2">
        <v>12679.77</v>
      </c>
      <c r="K627" s="2">
        <v>2286.52</v>
      </c>
      <c r="L627" s="2">
        <v>10393.25</v>
      </c>
      <c r="M627">
        <v>-9</v>
      </c>
      <c r="N627" t="s">
        <v>258</v>
      </c>
    </row>
    <row r="628" spans="1:14" x14ac:dyDescent="0.25">
      <c r="A628" t="s">
        <v>256</v>
      </c>
      <c r="B628">
        <v>734</v>
      </c>
      <c r="C628" s="1">
        <v>42845</v>
      </c>
      <c r="D628" t="s">
        <v>350</v>
      </c>
      <c r="E628" s="1">
        <v>42825</v>
      </c>
      <c r="F628">
        <v>0</v>
      </c>
      <c r="G628" s="1">
        <v>42846</v>
      </c>
      <c r="H628" s="1">
        <v>42855</v>
      </c>
      <c r="I628" t="s">
        <v>15</v>
      </c>
      <c r="J628" s="2">
        <v>29586.14</v>
      </c>
      <c r="K628" s="2">
        <v>5335.2</v>
      </c>
      <c r="L628" s="2">
        <v>24250.94</v>
      </c>
      <c r="M628">
        <v>-9</v>
      </c>
      <c r="N628" t="s">
        <v>258</v>
      </c>
    </row>
    <row r="629" spans="1:14" x14ac:dyDescent="0.25">
      <c r="A629" t="s">
        <v>351</v>
      </c>
      <c r="B629">
        <v>728</v>
      </c>
      <c r="C629" s="1">
        <v>42845</v>
      </c>
      <c r="D629" t="s">
        <v>352</v>
      </c>
      <c r="E629" s="1">
        <v>42794</v>
      </c>
      <c r="F629">
        <v>0</v>
      </c>
      <c r="G629" s="1">
        <v>42846</v>
      </c>
      <c r="H629" s="1">
        <v>42855</v>
      </c>
      <c r="I629" t="s">
        <v>15</v>
      </c>
      <c r="J629">
        <v>29.9</v>
      </c>
      <c r="K629">
        <v>0</v>
      </c>
      <c r="L629">
        <v>29.9</v>
      </c>
      <c r="M629">
        <v>-9</v>
      </c>
      <c r="N629" t="s">
        <v>48</v>
      </c>
    </row>
    <row r="630" spans="1:14" x14ac:dyDescent="0.25">
      <c r="A630" t="s">
        <v>353</v>
      </c>
      <c r="B630">
        <v>1936</v>
      </c>
      <c r="C630" s="1">
        <v>43033</v>
      </c>
      <c r="D630" t="s">
        <v>354</v>
      </c>
      <c r="E630" s="1">
        <v>43013</v>
      </c>
      <c r="F630">
        <v>0</v>
      </c>
      <c r="G630" s="1">
        <v>43034</v>
      </c>
      <c r="H630" s="1">
        <v>43043</v>
      </c>
      <c r="I630" t="s">
        <v>15</v>
      </c>
      <c r="J630">
        <v>0.4</v>
      </c>
      <c r="K630">
        <v>7.0000000000000007E-2</v>
      </c>
      <c r="L630">
        <v>0.33</v>
      </c>
      <c r="M630">
        <v>-9</v>
      </c>
      <c r="N630" t="s">
        <v>282</v>
      </c>
    </row>
    <row r="631" spans="1:14" x14ac:dyDescent="0.25">
      <c r="A631" t="s">
        <v>353</v>
      </c>
      <c r="B631">
        <v>1935</v>
      </c>
      <c r="C631" s="1">
        <v>43033</v>
      </c>
      <c r="D631" t="s">
        <v>354</v>
      </c>
      <c r="E631" s="1">
        <v>43013</v>
      </c>
      <c r="F631">
        <v>0</v>
      </c>
      <c r="G631" s="1">
        <v>43034</v>
      </c>
      <c r="H631" s="1">
        <v>43043</v>
      </c>
      <c r="I631" t="s">
        <v>15</v>
      </c>
      <c r="J631" s="2">
        <v>2342</v>
      </c>
      <c r="K631">
        <v>422.33</v>
      </c>
      <c r="L631" s="2">
        <v>1919.67</v>
      </c>
      <c r="M631">
        <v>-9</v>
      </c>
      <c r="N631" t="s">
        <v>282</v>
      </c>
    </row>
    <row r="632" spans="1:14" x14ac:dyDescent="0.25">
      <c r="A632" t="s">
        <v>40</v>
      </c>
      <c r="B632">
        <v>1009</v>
      </c>
      <c r="C632" s="1">
        <v>42895</v>
      </c>
      <c r="D632" t="str">
        <f>"600004384465"</f>
        <v>600004384465</v>
      </c>
      <c r="E632" s="1">
        <v>42877</v>
      </c>
      <c r="F632">
        <v>0</v>
      </c>
      <c r="G632" s="1">
        <v>42895</v>
      </c>
      <c r="H632" s="1">
        <v>42905</v>
      </c>
      <c r="I632" t="s">
        <v>15</v>
      </c>
      <c r="J632">
        <v>13.96</v>
      </c>
      <c r="K632">
        <v>1.27</v>
      </c>
      <c r="L632">
        <v>12.69</v>
      </c>
      <c r="M632">
        <v>-10</v>
      </c>
      <c r="N632" t="s">
        <v>41</v>
      </c>
    </row>
    <row r="633" spans="1:14" x14ac:dyDescent="0.25">
      <c r="A633" t="s">
        <v>40</v>
      </c>
      <c r="B633">
        <v>1001</v>
      </c>
      <c r="C633" s="1">
        <v>42895</v>
      </c>
      <c r="D633" t="str">
        <f>"600004384441"</f>
        <v>600004384441</v>
      </c>
      <c r="E633" s="1">
        <v>42877</v>
      </c>
      <c r="F633">
        <v>0</v>
      </c>
      <c r="G633" s="1">
        <v>42895</v>
      </c>
      <c r="H633" s="1">
        <v>42905</v>
      </c>
      <c r="I633" t="s">
        <v>15</v>
      </c>
      <c r="J633">
        <v>31.82</v>
      </c>
      <c r="K633">
        <v>2.75</v>
      </c>
      <c r="L633">
        <v>29.07</v>
      </c>
      <c r="M633">
        <v>-10</v>
      </c>
      <c r="N633" t="s">
        <v>41</v>
      </c>
    </row>
    <row r="634" spans="1:14" x14ac:dyDescent="0.25">
      <c r="A634" t="s">
        <v>40</v>
      </c>
      <c r="B634">
        <v>1007</v>
      </c>
      <c r="C634" s="1">
        <v>42895</v>
      </c>
      <c r="D634" t="str">
        <f>"600004384467"</f>
        <v>600004384467</v>
      </c>
      <c r="E634" s="1">
        <v>42877</v>
      </c>
      <c r="F634">
        <v>0</v>
      </c>
      <c r="G634" s="1">
        <v>42895</v>
      </c>
      <c r="H634" s="1">
        <v>42905</v>
      </c>
      <c r="I634" t="s">
        <v>15</v>
      </c>
      <c r="J634">
        <v>30.81</v>
      </c>
      <c r="K634">
        <v>2.8</v>
      </c>
      <c r="L634">
        <v>28.01</v>
      </c>
      <c r="M634">
        <v>-10</v>
      </c>
      <c r="N634" t="s">
        <v>41</v>
      </c>
    </row>
    <row r="635" spans="1:14" x14ac:dyDescent="0.25">
      <c r="A635" t="s">
        <v>40</v>
      </c>
      <c r="B635">
        <v>1008</v>
      </c>
      <c r="C635" s="1">
        <v>42895</v>
      </c>
      <c r="D635" t="str">
        <f>"600004384462"</f>
        <v>600004384462</v>
      </c>
      <c r="E635" s="1">
        <v>42877</v>
      </c>
      <c r="F635">
        <v>0</v>
      </c>
      <c r="G635" s="1">
        <v>42895</v>
      </c>
      <c r="H635" s="1">
        <v>42905</v>
      </c>
      <c r="I635" t="s">
        <v>15</v>
      </c>
      <c r="J635">
        <v>15.94</v>
      </c>
      <c r="K635">
        <v>0.6</v>
      </c>
      <c r="L635">
        <v>15.34</v>
      </c>
      <c r="M635">
        <v>-10</v>
      </c>
      <c r="N635" t="s">
        <v>41</v>
      </c>
    </row>
    <row r="636" spans="1:14" x14ac:dyDescent="0.25">
      <c r="A636" t="s">
        <v>40</v>
      </c>
      <c r="B636">
        <v>1020</v>
      </c>
      <c r="C636" s="1">
        <v>42895</v>
      </c>
      <c r="D636" t="str">
        <f>"600004384442"</f>
        <v>600004384442</v>
      </c>
      <c r="E636" s="1">
        <v>42877</v>
      </c>
      <c r="F636">
        <v>0</v>
      </c>
      <c r="G636" s="1">
        <v>42895</v>
      </c>
      <c r="H636" s="1">
        <v>42905</v>
      </c>
      <c r="I636" t="s">
        <v>15</v>
      </c>
      <c r="J636">
        <v>64.05</v>
      </c>
      <c r="K636">
        <v>5.68</v>
      </c>
      <c r="L636">
        <v>58.37</v>
      </c>
      <c r="M636">
        <v>-10</v>
      </c>
      <c r="N636" t="s">
        <v>41</v>
      </c>
    </row>
    <row r="637" spans="1:14" x14ac:dyDescent="0.25">
      <c r="A637" t="s">
        <v>40</v>
      </c>
      <c r="B637">
        <v>1017</v>
      </c>
      <c r="C637" s="1">
        <v>42895</v>
      </c>
      <c r="D637" t="str">
        <f>"600004384452"</f>
        <v>600004384452</v>
      </c>
      <c r="E637" s="1">
        <v>42877</v>
      </c>
      <c r="F637">
        <v>0</v>
      </c>
      <c r="G637" s="1">
        <v>42895</v>
      </c>
      <c r="H637" s="1">
        <v>42905</v>
      </c>
      <c r="I637" t="s">
        <v>15</v>
      </c>
      <c r="J637">
        <v>91.83</v>
      </c>
      <c r="K637">
        <v>8.1999999999999993</v>
      </c>
      <c r="L637">
        <v>83.63</v>
      </c>
      <c r="M637">
        <v>-10</v>
      </c>
      <c r="N637" t="s">
        <v>41</v>
      </c>
    </row>
    <row r="638" spans="1:14" x14ac:dyDescent="0.25">
      <c r="A638" t="s">
        <v>40</v>
      </c>
      <c r="B638">
        <v>1002</v>
      </c>
      <c r="C638" s="1">
        <v>42895</v>
      </c>
      <c r="D638" t="str">
        <f>"600004384456"</f>
        <v>600004384456</v>
      </c>
      <c r="E638" s="1">
        <v>42877</v>
      </c>
      <c r="F638">
        <v>0</v>
      </c>
      <c r="G638" s="1">
        <v>42895</v>
      </c>
      <c r="H638" s="1">
        <v>42905</v>
      </c>
      <c r="I638" t="s">
        <v>15</v>
      </c>
      <c r="J638">
        <v>16.670000000000002</v>
      </c>
      <c r="K638">
        <v>1.37</v>
      </c>
      <c r="L638">
        <v>15.3</v>
      </c>
      <c r="M638">
        <v>-10</v>
      </c>
      <c r="N638" t="s">
        <v>41</v>
      </c>
    </row>
    <row r="639" spans="1:14" x14ac:dyDescent="0.25">
      <c r="A639" t="s">
        <v>40</v>
      </c>
      <c r="B639">
        <v>1003</v>
      </c>
      <c r="C639" s="1">
        <v>42895</v>
      </c>
      <c r="D639" t="str">
        <f>"600004384457"</f>
        <v>600004384457</v>
      </c>
      <c r="E639" s="1">
        <v>42877</v>
      </c>
      <c r="F639">
        <v>0</v>
      </c>
      <c r="G639" s="1">
        <v>42895</v>
      </c>
      <c r="H639" s="1">
        <v>42905</v>
      </c>
      <c r="I639" t="s">
        <v>15</v>
      </c>
      <c r="J639">
        <v>22.46</v>
      </c>
      <c r="K639">
        <v>2.04</v>
      </c>
      <c r="L639">
        <v>20.420000000000002</v>
      </c>
      <c r="M639">
        <v>-10</v>
      </c>
      <c r="N639" t="s">
        <v>41</v>
      </c>
    </row>
    <row r="640" spans="1:14" x14ac:dyDescent="0.25">
      <c r="A640" t="s">
        <v>40</v>
      </c>
      <c r="B640">
        <v>1022</v>
      </c>
      <c r="C640" s="1">
        <v>42895</v>
      </c>
      <c r="D640" t="str">
        <f>"600004384459"</f>
        <v>600004384459</v>
      </c>
      <c r="E640" s="1">
        <v>42877</v>
      </c>
      <c r="F640">
        <v>0</v>
      </c>
      <c r="G640" s="1">
        <v>42895</v>
      </c>
      <c r="H640" s="1">
        <v>42905</v>
      </c>
      <c r="I640" t="s">
        <v>15</v>
      </c>
      <c r="J640">
        <v>0.4</v>
      </c>
      <c r="K640">
        <v>0.4</v>
      </c>
      <c r="L640">
        <v>0</v>
      </c>
      <c r="M640">
        <v>-10</v>
      </c>
      <c r="N640" t="s">
        <v>41</v>
      </c>
    </row>
    <row r="641" spans="1:14" x14ac:dyDescent="0.25">
      <c r="A641" t="s">
        <v>40</v>
      </c>
      <c r="B641">
        <v>1004</v>
      </c>
      <c r="C641" s="1">
        <v>42895</v>
      </c>
      <c r="D641" t="str">
        <f>"600004384455"</f>
        <v>600004384455</v>
      </c>
      <c r="E641" s="1">
        <v>42877</v>
      </c>
      <c r="F641">
        <v>0</v>
      </c>
      <c r="G641" s="1">
        <v>42895</v>
      </c>
      <c r="H641" s="1">
        <v>42905</v>
      </c>
      <c r="I641" t="s">
        <v>15</v>
      </c>
      <c r="J641">
        <v>22.46</v>
      </c>
      <c r="K641">
        <v>2.04</v>
      </c>
      <c r="L641">
        <v>20.420000000000002</v>
      </c>
      <c r="M641">
        <v>-10</v>
      </c>
      <c r="N641" t="s">
        <v>41</v>
      </c>
    </row>
    <row r="642" spans="1:14" x14ac:dyDescent="0.25">
      <c r="A642" t="s">
        <v>40</v>
      </c>
      <c r="B642">
        <v>1018</v>
      </c>
      <c r="C642" s="1">
        <v>42895</v>
      </c>
      <c r="D642" t="str">
        <f>"600004384450"</f>
        <v>600004384450</v>
      </c>
      <c r="E642" s="1">
        <v>42877</v>
      </c>
      <c r="F642">
        <v>0</v>
      </c>
      <c r="G642" s="1">
        <v>42895</v>
      </c>
      <c r="H642" s="1">
        <v>42905</v>
      </c>
      <c r="I642" t="s">
        <v>15</v>
      </c>
      <c r="J642">
        <v>22.46</v>
      </c>
      <c r="K642">
        <v>2.04</v>
      </c>
      <c r="L642">
        <v>20.420000000000002</v>
      </c>
      <c r="M642">
        <v>-10</v>
      </c>
      <c r="N642" t="s">
        <v>41</v>
      </c>
    </row>
    <row r="643" spans="1:14" x14ac:dyDescent="0.25">
      <c r="A643" t="s">
        <v>40</v>
      </c>
      <c r="B643">
        <v>1005</v>
      </c>
      <c r="C643" s="1">
        <v>42895</v>
      </c>
      <c r="D643" t="str">
        <f>"600004384451"</f>
        <v>600004384451</v>
      </c>
      <c r="E643" s="1">
        <v>42877</v>
      </c>
      <c r="F643">
        <v>0</v>
      </c>
      <c r="G643" s="1">
        <v>42895</v>
      </c>
      <c r="H643" s="1">
        <v>42905</v>
      </c>
      <c r="I643" t="s">
        <v>15</v>
      </c>
      <c r="J643">
        <v>134.30000000000001</v>
      </c>
      <c r="K643">
        <v>12.06</v>
      </c>
      <c r="L643">
        <v>122.24</v>
      </c>
      <c r="M643">
        <v>-10</v>
      </c>
      <c r="N643" t="s">
        <v>41</v>
      </c>
    </row>
    <row r="644" spans="1:14" x14ac:dyDescent="0.25">
      <c r="A644" t="s">
        <v>40</v>
      </c>
      <c r="B644">
        <v>1024</v>
      </c>
      <c r="C644" s="1">
        <v>42895</v>
      </c>
      <c r="D644" t="str">
        <f>"600004384460"</f>
        <v>600004384460</v>
      </c>
      <c r="E644" s="1">
        <v>42877</v>
      </c>
      <c r="F644">
        <v>0</v>
      </c>
      <c r="G644" s="1">
        <v>42895</v>
      </c>
      <c r="H644" s="1">
        <v>42905</v>
      </c>
      <c r="I644" t="s">
        <v>15</v>
      </c>
      <c r="J644">
        <v>10.59</v>
      </c>
      <c r="K644">
        <v>0.35</v>
      </c>
      <c r="L644">
        <v>10.24</v>
      </c>
      <c r="M644">
        <v>-10</v>
      </c>
      <c r="N644" t="s">
        <v>41</v>
      </c>
    </row>
    <row r="645" spans="1:14" x14ac:dyDescent="0.25">
      <c r="A645" t="s">
        <v>40</v>
      </c>
      <c r="B645">
        <v>1025</v>
      </c>
      <c r="C645" s="1">
        <v>42895</v>
      </c>
      <c r="D645" t="str">
        <f>"600004384448"</f>
        <v>600004384448</v>
      </c>
      <c r="E645" s="1">
        <v>42877</v>
      </c>
      <c r="F645">
        <v>0</v>
      </c>
      <c r="G645" s="1">
        <v>42895</v>
      </c>
      <c r="H645" s="1">
        <v>42905</v>
      </c>
      <c r="I645" t="s">
        <v>15</v>
      </c>
      <c r="J645">
        <v>10.59</v>
      </c>
      <c r="K645">
        <v>0.35</v>
      </c>
      <c r="L645">
        <v>10.24</v>
      </c>
      <c r="M645">
        <v>-10</v>
      </c>
      <c r="N645" t="s">
        <v>41</v>
      </c>
    </row>
    <row r="646" spans="1:14" x14ac:dyDescent="0.25">
      <c r="A646" t="s">
        <v>40</v>
      </c>
      <c r="B646">
        <v>999</v>
      </c>
      <c r="C646" s="1">
        <v>42895</v>
      </c>
      <c r="D646" t="str">
        <f>"600004384464"</f>
        <v>600004384464</v>
      </c>
      <c r="E646" s="1">
        <v>42877</v>
      </c>
      <c r="F646">
        <v>0</v>
      </c>
      <c r="G646" s="1">
        <v>42895</v>
      </c>
      <c r="H646" s="1">
        <v>42905</v>
      </c>
      <c r="I646" t="s">
        <v>15</v>
      </c>
      <c r="J646">
        <v>10.59</v>
      </c>
      <c r="K646">
        <v>0.35</v>
      </c>
      <c r="L646">
        <v>10.24</v>
      </c>
      <c r="M646">
        <v>-10</v>
      </c>
      <c r="N646" t="s">
        <v>41</v>
      </c>
    </row>
    <row r="647" spans="1:14" x14ac:dyDescent="0.25">
      <c r="A647" t="s">
        <v>40</v>
      </c>
      <c r="B647">
        <v>1026</v>
      </c>
      <c r="C647" s="1">
        <v>42895</v>
      </c>
      <c r="D647" t="str">
        <f>"600004384453"</f>
        <v>600004384453</v>
      </c>
      <c r="E647" s="1">
        <v>42877</v>
      </c>
      <c r="F647">
        <v>0</v>
      </c>
      <c r="G647" s="1">
        <v>42895</v>
      </c>
      <c r="H647" s="1">
        <v>42905</v>
      </c>
      <c r="I647" t="s">
        <v>15</v>
      </c>
      <c r="J647">
        <v>20.73</v>
      </c>
      <c r="K647">
        <v>1.74</v>
      </c>
      <c r="L647">
        <v>18.989999999999998</v>
      </c>
      <c r="M647">
        <v>-10</v>
      </c>
      <c r="N647" t="s">
        <v>41</v>
      </c>
    </row>
    <row r="648" spans="1:14" x14ac:dyDescent="0.25">
      <c r="A648" t="s">
        <v>40</v>
      </c>
      <c r="B648">
        <v>1016</v>
      </c>
      <c r="C648" s="1">
        <v>42895</v>
      </c>
      <c r="D648" t="str">
        <f>"600004384458"</f>
        <v>600004384458</v>
      </c>
      <c r="E648" s="1">
        <v>42877</v>
      </c>
      <c r="F648">
        <v>0</v>
      </c>
      <c r="G648" s="1">
        <v>42895</v>
      </c>
      <c r="H648" s="1">
        <v>42905</v>
      </c>
      <c r="I648" t="s">
        <v>15</v>
      </c>
      <c r="J648">
        <v>26.46</v>
      </c>
      <c r="K648">
        <v>2.2599999999999998</v>
      </c>
      <c r="L648">
        <v>24.2</v>
      </c>
      <c r="M648">
        <v>-10</v>
      </c>
      <c r="N648" t="s">
        <v>41</v>
      </c>
    </row>
    <row r="649" spans="1:14" x14ac:dyDescent="0.25">
      <c r="A649" t="s">
        <v>40</v>
      </c>
      <c r="B649">
        <v>1021</v>
      </c>
      <c r="C649" s="1">
        <v>42895</v>
      </c>
      <c r="D649" t="str">
        <f>"600004384461"</f>
        <v>600004384461</v>
      </c>
      <c r="E649" s="1">
        <v>42877</v>
      </c>
      <c r="F649">
        <v>0</v>
      </c>
      <c r="G649" s="1">
        <v>42895</v>
      </c>
      <c r="H649" s="1">
        <v>42905</v>
      </c>
      <c r="I649" t="s">
        <v>15</v>
      </c>
      <c r="J649">
        <v>15.02</v>
      </c>
      <c r="K649">
        <v>0.52</v>
      </c>
      <c r="L649">
        <v>14.5</v>
      </c>
      <c r="M649">
        <v>-10</v>
      </c>
      <c r="N649" t="s">
        <v>41</v>
      </c>
    </row>
    <row r="650" spans="1:14" x14ac:dyDescent="0.25">
      <c r="A650" t="s">
        <v>40</v>
      </c>
      <c r="B650">
        <v>1015</v>
      </c>
      <c r="C650" s="1">
        <v>42895</v>
      </c>
      <c r="D650" t="str">
        <f>"600004384454"</f>
        <v>600004384454</v>
      </c>
      <c r="E650" s="1">
        <v>42877</v>
      </c>
      <c r="F650">
        <v>0</v>
      </c>
      <c r="G650" s="1">
        <v>42895</v>
      </c>
      <c r="H650" s="1">
        <v>42905</v>
      </c>
      <c r="I650" t="s">
        <v>15</v>
      </c>
      <c r="J650">
        <v>13.96</v>
      </c>
      <c r="K650">
        <v>1.27</v>
      </c>
      <c r="L650">
        <v>12.69</v>
      </c>
      <c r="M650">
        <v>-10</v>
      </c>
      <c r="N650" t="s">
        <v>41</v>
      </c>
    </row>
    <row r="651" spans="1:14" x14ac:dyDescent="0.25">
      <c r="A651" t="s">
        <v>40</v>
      </c>
      <c r="B651">
        <v>1023</v>
      </c>
      <c r="C651" s="1">
        <v>42895</v>
      </c>
      <c r="D651" t="str">
        <f>"600004384463"</f>
        <v>600004384463</v>
      </c>
      <c r="E651" s="1">
        <v>42877</v>
      </c>
      <c r="F651">
        <v>0</v>
      </c>
      <c r="G651" s="1">
        <v>42895</v>
      </c>
      <c r="H651" s="1">
        <v>42905</v>
      </c>
      <c r="I651" t="s">
        <v>15</v>
      </c>
      <c r="J651">
        <v>12.35</v>
      </c>
      <c r="K651">
        <v>0.43</v>
      </c>
      <c r="L651">
        <v>11.92</v>
      </c>
      <c r="M651">
        <v>-10</v>
      </c>
      <c r="N651" t="s">
        <v>41</v>
      </c>
    </row>
    <row r="652" spans="1:14" x14ac:dyDescent="0.25">
      <c r="A652" t="s">
        <v>40</v>
      </c>
      <c r="B652">
        <v>1013</v>
      </c>
      <c r="C652" s="1">
        <v>42895</v>
      </c>
      <c r="D652" t="str">
        <f>"600004384466"</f>
        <v>600004384466</v>
      </c>
      <c r="E652" s="1">
        <v>42877</v>
      </c>
      <c r="F652">
        <v>0</v>
      </c>
      <c r="G652" s="1">
        <v>42895</v>
      </c>
      <c r="H652" s="1">
        <v>42905</v>
      </c>
      <c r="I652" t="s">
        <v>15</v>
      </c>
      <c r="J652">
        <v>0.4</v>
      </c>
      <c r="K652">
        <v>0.4</v>
      </c>
      <c r="L652">
        <v>0</v>
      </c>
      <c r="M652">
        <v>-10</v>
      </c>
      <c r="N652" t="s">
        <v>41</v>
      </c>
    </row>
    <row r="653" spans="1:14" x14ac:dyDescent="0.25">
      <c r="A653" t="s">
        <v>40</v>
      </c>
      <c r="B653">
        <v>1000</v>
      </c>
      <c r="C653" s="1">
        <v>42895</v>
      </c>
      <c r="D653" t="str">
        <f>"600004384446"</f>
        <v>600004384446</v>
      </c>
      <c r="E653" s="1">
        <v>42877</v>
      </c>
      <c r="F653">
        <v>0</v>
      </c>
      <c r="G653" s="1">
        <v>42895</v>
      </c>
      <c r="H653" s="1">
        <v>42905</v>
      </c>
      <c r="I653" t="s">
        <v>15</v>
      </c>
      <c r="J653">
        <v>49.35</v>
      </c>
      <c r="K653">
        <v>4.34</v>
      </c>
      <c r="L653">
        <v>45.01</v>
      </c>
      <c r="M653">
        <v>-10</v>
      </c>
      <c r="N653" t="s">
        <v>41</v>
      </c>
    </row>
    <row r="654" spans="1:14" x14ac:dyDescent="0.25">
      <c r="A654" t="s">
        <v>40</v>
      </c>
      <c r="B654">
        <v>1019</v>
      </c>
      <c r="C654" s="1">
        <v>42895</v>
      </c>
      <c r="D654" t="str">
        <f>"600004384444"</f>
        <v>600004384444</v>
      </c>
      <c r="E654" s="1">
        <v>42877</v>
      </c>
      <c r="F654">
        <v>0</v>
      </c>
      <c r="G654" s="1">
        <v>42895</v>
      </c>
      <c r="H654" s="1">
        <v>42905</v>
      </c>
      <c r="I654" t="s">
        <v>15</v>
      </c>
      <c r="J654">
        <v>104.9</v>
      </c>
      <c r="K654">
        <v>9.39</v>
      </c>
      <c r="L654">
        <v>95.51</v>
      </c>
      <c r="M654">
        <v>-10</v>
      </c>
      <c r="N654" t="s">
        <v>41</v>
      </c>
    </row>
    <row r="655" spans="1:14" x14ac:dyDescent="0.25">
      <c r="A655" t="s">
        <v>40</v>
      </c>
      <c r="B655">
        <v>1010</v>
      </c>
      <c r="C655" s="1">
        <v>42895</v>
      </c>
      <c r="D655" t="str">
        <f>"600004384449"</f>
        <v>600004384449</v>
      </c>
      <c r="E655" s="1">
        <v>42877</v>
      </c>
      <c r="F655">
        <v>0</v>
      </c>
      <c r="G655" s="1">
        <v>42895</v>
      </c>
      <c r="H655" s="1">
        <v>42905</v>
      </c>
      <c r="I655" t="s">
        <v>15</v>
      </c>
      <c r="J655">
        <v>13.22</v>
      </c>
      <c r="K655">
        <v>0.43</v>
      </c>
      <c r="L655">
        <v>12.79</v>
      </c>
      <c r="M655">
        <v>-10</v>
      </c>
      <c r="N655" t="s">
        <v>41</v>
      </c>
    </row>
    <row r="656" spans="1:14" x14ac:dyDescent="0.25">
      <c r="A656" t="s">
        <v>40</v>
      </c>
      <c r="B656">
        <v>1006</v>
      </c>
      <c r="C656" s="1">
        <v>42895</v>
      </c>
      <c r="D656" t="str">
        <f>"600004384443"</f>
        <v>600004384443</v>
      </c>
      <c r="E656" s="1">
        <v>42877</v>
      </c>
      <c r="F656">
        <v>0</v>
      </c>
      <c r="G656" s="1">
        <v>42895</v>
      </c>
      <c r="H656" s="1">
        <v>42905</v>
      </c>
      <c r="I656" t="s">
        <v>15</v>
      </c>
      <c r="J656">
        <v>46.08</v>
      </c>
      <c r="K656">
        <v>4.04</v>
      </c>
      <c r="L656">
        <v>42.04</v>
      </c>
      <c r="M656">
        <v>-10</v>
      </c>
      <c r="N656" t="s">
        <v>41</v>
      </c>
    </row>
    <row r="657" spans="1:14" x14ac:dyDescent="0.25">
      <c r="A657" t="s">
        <v>40</v>
      </c>
      <c r="B657">
        <v>1012</v>
      </c>
      <c r="C657" s="1">
        <v>42895</v>
      </c>
      <c r="D657" t="str">
        <f>"600004384445"</f>
        <v>600004384445</v>
      </c>
      <c r="E657" s="1">
        <v>42877</v>
      </c>
      <c r="F657">
        <v>0</v>
      </c>
      <c r="G657" s="1">
        <v>42895</v>
      </c>
      <c r="H657" s="1">
        <v>42905</v>
      </c>
      <c r="I657" t="s">
        <v>15</v>
      </c>
      <c r="J657">
        <v>16.670000000000002</v>
      </c>
      <c r="K657">
        <v>1.37</v>
      </c>
      <c r="L657">
        <v>15.3</v>
      </c>
      <c r="M657">
        <v>-10</v>
      </c>
      <c r="N657" t="s">
        <v>41</v>
      </c>
    </row>
    <row r="658" spans="1:14" x14ac:dyDescent="0.25">
      <c r="A658" t="s">
        <v>40</v>
      </c>
      <c r="B658">
        <v>1011</v>
      </c>
      <c r="C658" s="1">
        <v>42895</v>
      </c>
      <c r="D658" t="str">
        <f>"600004384447"</f>
        <v>600004384447</v>
      </c>
      <c r="E658" s="1">
        <v>42877</v>
      </c>
      <c r="F658">
        <v>0</v>
      </c>
      <c r="G658" s="1">
        <v>42895</v>
      </c>
      <c r="H658" s="1">
        <v>42905</v>
      </c>
      <c r="I658" t="s">
        <v>15</v>
      </c>
      <c r="J658">
        <v>12.44</v>
      </c>
      <c r="K658">
        <v>0.44</v>
      </c>
      <c r="L658">
        <v>12</v>
      </c>
      <c r="M658">
        <v>-10</v>
      </c>
      <c r="N658" t="s">
        <v>41</v>
      </c>
    </row>
    <row r="659" spans="1:14" x14ac:dyDescent="0.25">
      <c r="A659" t="s">
        <v>355</v>
      </c>
      <c r="B659">
        <v>943</v>
      </c>
      <c r="C659" s="1">
        <v>42873</v>
      </c>
      <c r="D659" t="s">
        <v>356</v>
      </c>
      <c r="E659" s="1">
        <v>42853</v>
      </c>
      <c r="F659">
        <v>0</v>
      </c>
      <c r="G659" s="1">
        <v>42873</v>
      </c>
      <c r="H659" s="1">
        <v>42883</v>
      </c>
      <c r="I659" t="s">
        <v>15</v>
      </c>
      <c r="J659">
        <v>65.27</v>
      </c>
      <c r="K659">
        <v>11.77</v>
      </c>
      <c r="L659">
        <v>53.5</v>
      </c>
      <c r="M659">
        <v>-10</v>
      </c>
      <c r="N659" t="s">
        <v>101</v>
      </c>
    </row>
    <row r="660" spans="1:14" x14ac:dyDescent="0.25">
      <c r="A660" t="s">
        <v>246</v>
      </c>
      <c r="B660">
        <v>187</v>
      </c>
      <c r="C660" s="1">
        <v>42765</v>
      </c>
      <c r="D660" t="s">
        <v>113</v>
      </c>
      <c r="E660" s="1">
        <v>42745</v>
      </c>
      <c r="F660">
        <v>0</v>
      </c>
      <c r="G660" s="1">
        <v>42765</v>
      </c>
      <c r="H660" s="1">
        <v>42775</v>
      </c>
      <c r="I660" t="s">
        <v>15</v>
      </c>
      <c r="J660">
        <v>350.01</v>
      </c>
      <c r="K660">
        <v>63.12</v>
      </c>
      <c r="L660">
        <v>286.89</v>
      </c>
      <c r="M660">
        <v>-10</v>
      </c>
      <c r="N660" t="s">
        <v>78</v>
      </c>
    </row>
    <row r="661" spans="1:14" x14ac:dyDescent="0.25">
      <c r="A661" t="s">
        <v>246</v>
      </c>
      <c r="B661">
        <v>136</v>
      </c>
      <c r="C661" s="1">
        <v>42762</v>
      </c>
      <c r="D661" t="s">
        <v>122</v>
      </c>
      <c r="E661" s="1">
        <v>42745</v>
      </c>
      <c r="F661">
        <v>0</v>
      </c>
      <c r="G661" s="1">
        <v>42765</v>
      </c>
      <c r="H661" s="1">
        <v>42775</v>
      </c>
      <c r="I661" t="s">
        <v>15</v>
      </c>
      <c r="J661">
        <v>500</v>
      </c>
      <c r="K661">
        <v>90.16</v>
      </c>
      <c r="L661">
        <v>409.84</v>
      </c>
      <c r="M661">
        <v>-10</v>
      </c>
      <c r="N661" t="s">
        <v>78</v>
      </c>
    </row>
    <row r="662" spans="1:14" x14ac:dyDescent="0.25">
      <c r="A662" t="s">
        <v>357</v>
      </c>
      <c r="B662">
        <v>973</v>
      </c>
      <c r="C662" s="1">
        <v>42893</v>
      </c>
      <c r="D662" t="s">
        <v>358</v>
      </c>
      <c r="E662" s="1">
        <v>42875</v>
      </c>
      <c r="F662">
        <v>0</v>
      </c>
      <c r="G662" s="1">
        <v>42895</v>
      </c>
      <c r="H662" s="1">
        <v>42905</v>
      </c>
      <c r="I662" t="s">
        <v>15</v>
      </c>
      <c r="J662">
        <v>302</v>
      </c>
      <c r="K662">
        <v>0</v>
      </c>
      <c r="L662">
        <v>302</v>
      </c>
      <c r="M662">
        <v>-10</v>
      </c>
      <c r="N662" t="s">
        <v>359</v>
      </c>
    </row>
    <row r="663" spans="1:14" x14ac:dyDescent="0.25">
      <c r="A663" t="s">
        <v>360</v>
      </c>
      <c r="B663">
        <v>730</v>
      </c>
      <c r="C663" s="1">
        <v>42845</v>
      </c>
      <c r="D663" t="s">
        <v>361</v>
      </c>
      <c r="E663" s="1">
        <v>42783</v>
      </c>
      <c r="F663">
        <v>0</v>
      </c>
      <c r="G663" s="1">
        <v>42846</v>
      </c>
      <c r="H663" s="1">
        <v>42856</v>
      </c>
      <c r="I663" t="s">
        <v>23</v>
      </c>
      <c r="J663">
        <v>2</v>
      </c>
      <c r="K663">
        <v>0</v>
      </c>
      <c r="L663">
        <v>2</v>
      </c>
      <c r="M663">
        <v>-10</v>
      </c>
      <c r="N663" t="s">
        <v>362</v>
      </c>
    </row>
    <row r="664" spans="1:14" x14ac:dyDescent="0.25">
      <c r="A664" t="s">
        <v>360</v>
      </c>
      <c r="B664">
        <v>729</v>
      </c>
      <c r="C664" s="1">
        <v>42845</v>
      </c>
      <c r="D664" t="s">
        <v>361</v>
      </c>
      <c r="E664" s="1">
        <v>42783</v>
      </c>
      <c r="F664">
        <v>0</v>
      </c>
      <c r="G664" s="1">
        <v>42846</v>
      </c>
      <c r="H664" s="1">
        <v>42856</v>
      </c>
      <c r="I664" t="s">
        <v>23</v>
      </c>
      <c r="J664">
        <v>330</v>
      </c>
      <c r="K664">
        <v>0</v>
      </c>
      <c r="L664">
        <v>330</v>
      </c>
      <c r="M664">
        <v>-10</v>
      </c>
      <c r="N664" t="s">
        <v>362</v>
      </c>
    </row>
    <row r="665" spans="1:14" x14ac:dyDescent="0.25">
      <c r="A665" t="s">
        <v>360</v>
      </c>
      <c r="B665">
        <v>731</v>
      </c>
      <c r="C665" s="1">
        <v>42845</v>
      </c>
      <c r="D665" t="s">
        <v>361</v>
      </c>
      <c r="E665" s="1">
        <v>42783</v>
      </c>
      <c r="F665">
        <v>0</v>
      </c>
      <c r="G665" s="1">
        <v>42846</v>
      </c>
      <c r="H665" s="1">
        <v>42856</v>
      </c>
      <c r="I665" t="s">
        <v>23</v>
      </c>
      <c r="J665" s="2">
        <v>4028</v>
      </c>
      <c r="K665">
        <v>0</v>
      </c>
      <c r="L665" s="2">
        <v>4028</v>
      </c>
      <c r="M665">
        <v>-10</v>
      </c>
      <c r="N665" t="s">
        <v>362</v>
      </c>
    </row>
    <row r="666" spans="1:14" x14ac:dyDescent="0.25">
      <c r="A666" t="s">
        <v>363</v>
      </c>
      <c r="B666">
        <v>560</v>
      </c>
      <c r="C666" s="1">
        <v>42821</v>
      </c>
      <c r="D666" t="s">
        <v>364</v>
      </c>
      <c r="E666" s="1">
        <v>42801</v>
      </c>
      <c r="F666">
        <v>0</v>
      </c>
      <c r="G666" s="1">
        <v>42821</v>
      </c>
      <c r="H666" s="1">
        <v>42832</v>
      </c>
      <c r="I666" t="s">
        <v>15</v>
      </c>
      <c r="J666">
        <v>246</v>
      </c>
      <c r="K666">
        <v>0</v>
      </c>
      <c r="L666">
        <v>246</v>
      </c>
      <c r="M666">
        <v>-11</v>
      </c>
      <c r="N666" t="s">
        <v>30</v>
      </c>
    </row>
    <row r="667" spans="1:14" x14ac:dyDescent="0.25">
      <c r="A667" t="s">
        <v>64</v>
      </c>
      <c r="B667">
        <v>1465</v>
      </c>
      <c r="C667" s="1">
        <v>42956</v>
      </c>
      <c r="D667" t="s">
        <v>365</v>
      </c>
      <c r="E667" s="1">
        <v>42948</v>
      </c>
      <c r="F667">
        <v>0</v>
      </c>
      <c r="G667" s="1">
        <v>42957</v>
      </c>
      <c r="H667" s="1">
        <v>42968</v>
      </c>
      <c r="I667" t="s">
        <v>15</v>
      </c>
      <c r="J667" s="2">
        <v>1292.6500000000001</v>
      </c>
      <c r="K667">
        <v>201.79</v>
      </c>
      <c r="L667" s="2">
        <v>1090.8599999999999</v>
      </c>
      <c r="M667">
        <v>-11</v>
      </c>
      <c r="N667" t="s">
        <v>66</v>
      </c>
    </row>
    <row r="668" spans="1:14" x14ac:dyDescent="0.25">
      <c r="A668" t="s">
        <v>64</v>
      </c>
      <c r="B668">
        <v>664</v>
      </c>
      <c r="C668" s="1">
        <v>42832</v>
      </c>
      <c r="D668" t="s">
        <v>366</v>
      </c>
      <c r="E668" s="1">
        <v>42823</v>
      </c>
      <c r="F668">
        <v>0</v>
      </c>
      <c r="G668" s="1">
        <v>42832</v>
      </c>
      <c r="H668" s="1">
        <v>42843</v>
      </c>
      <c r="I668" t="s">
        <v>15</v>
      </c>
      <c r="J668" s="2">
        <v>1181.6199999999999</v>
      </c>
      <c r="K668">
        <v>212.89</v>
      </c>
      <c r="L668">
        <v>968.73</v>
      </c>
      <c r="M668">
        <v>-11</v>
      </c>
      <c r="N668" t="s">
        <v>66</v>
      </c>
    </row>
    <row r="669" spans="1:14" x14ac:dyDescent="0.25">
      <c r="A669" t="s">
        <v>64</v>
      </c>
      <c r="B669">
        <v>668</v>
      </c>
      <c r="C669" s="1">
        <v>42832</v>
      </c>
      <c r="D669" t="s">
        <v>367</v>
      </c>
      <c r="E669" s="1">
        <v>42823</v>
      </c>
      <c r="F669">
        <v>0</v>
      </c>
      <c r="G669" s="1">
        <v>42832</v>
      </c>
      <c r="H669" s="1">
        <v>42843</v>
      </c>
      <c r="I669" t="s">
        <v>15</v>
      </c>
      <c r="J669">
        <v>133.76</v>
      </c>
      <c r="K669">
        <v>23.93</v>
      </c>
      <c r="L669">
        <v>109.83</v>
      </c>
      <c r="M669">
        <v>-11</v>
      </c>
      <c r="N669" t="s">
        <v>66</v>
      </c>
    </row>
    <row r="670" spans="1:14" x14ac:dyDescent="0.25">
      <c r="A670" t="s">
        <v>64</v>
      </c>
      <c r="B670">
        <v>1456</v>
      </c>
      <c r="C670" s="1">
        <v>42956</v>
      </c>
      <c r="D670" t="s">
        <v>368</v>
      </c>
      <c r="E670" s="1">
        <v>42947</v>
      </c>
      <c r="F670">
        <v>0</v>
      </c>
      <c r="G670" s="1">
        <v>42957</v>
      </c>
      <c r="H670" s="1">
        <v>42968</v>
      </c>
      <c r="I670" t="s">
        <v>15</v>
      </c>
      <c r="J670">
        <v>19.190000000000001</v>
      </c>
      <c r="K670">
        <v>3.46</v>
      </c>
      <c r="L670">
        <v>15.73</v>
      </c>
      <c r="M670">
        <v>-11</v>
      </c>
      <c r="N670" t="s">
        <v>66</v>
      </c>
    </row>
    <row r="671" spans="1:14" x14ac:dyDescent="0.25">
      <c r="A671" t="s">
        <v>64</v>
      </c>
      <c r="B671">
        <v>666</v>
      </c>
      <c r="C671" s="1">
        <v>42832</v>
      </c>
      <c r="D671" t="s">
        <v>369</v>
      </c>
      <c r="E671" s="1">
        <v>42823</v>
      </c>
      <c r="F671">
        <v>0</v>
      </c>
      <c r="G671" s="1">
        <v>42832</v>
      </c>
      <c r="H671" s="1">
        <v>42843</v>
      </c>
      <c r="I671" t="s">
        <v>15</v>
      </c>
      <c r="J671">
        <v>483</v>
      </c>
      <c r="K671">
        <v>87.07</v>
      </c>
      <c r="L671">
        <v>395.93</v>
      </c>
      <c r="M671">
        <v>-11</v>
      </c>
      <c r="N671" t="s">
        <v>66</v>
      </c>
    </row>
    <row r="672" spans="1:14" x14ac:dyDescent="0.25">
      <c r="A672" t="s">
        <v>64</v>
      </c>
      <c r="B672">
        <v>1455</v>
      </c>
      <c r="C672" s="1">
        <v>42956</v>
      </c>
      <c r="D672" t="s">
        <v>370</v>
      </c>
      <c r="E672" s="1">
        <v>42947</v>
      </c>
      <c r="F672">
        <v>0</v>
      </c>
      <c r="G672" s="1">
        <v>42957</v>
      </c>
      <c r="H672" s="1">
        <v>42968</v>
      </c>
      <c r="I672" t="s">
        <v>15</v>
      </c>
      <c r="J672">
        <v>46.07</v>
      </c>
      <c r="K672">
        <v>8.31</v>
      </c>
      <c r="L672">
        <v>37.76</v>
      </c>
      <c r="M672">
        <v>-11</v>
      </c>
      <c r="N672" t="s">
        <v>66</v>
      </c>
    </row>
    <row r="673" spans="1:14" x14ac:dyDescent="0.25">
      <c r="A673" t="s">
        <v>64</v>
      </c>
      <c r="B673">
        <v>663</v>
      </c>
      <c r="C673" s="1">
        <v>42832</v>
      </c>
      <c r="D673" t="s">
        <v>371</v>
      </c>
      <c r="E673" s="1">
        <v>42823</v>
      </c>
      <c r="F673">
        <v>0</v>
      </c>
      <c r="G673" s="1">
        <v>42832</v>
      </c>
      <c r="H673" s="1">
        <v>42843</v>
      </c>
      <c r="I673" t="s">
        <v>15</v>
      </c>
      <c r="J673" s="2">
        <v>1671.91</v>
      </c>
      <c r="K673">
        <v>301.3</v>
      </c>
      <c r="L673" s="2">
        <v>1370.61</v>
      </c>
      <c r="M673">
        <v>-11</v>
      </c>
      <c r="N673" t="s">
        <v>66</v>
      </c>
    </row>
    <row r="674" spans="1:14" x14ac:dyDescent="0.25">
      <c r="A674" t="s">
        <v>64</v>
      </c>
      <c r="B674">
        <v>1454</v>
      </c>
      <c r="C674" s="1">
        <v>42956</v>
      </c>
      <c r="D674" t="s">
        <v>365</v>
      </c>
      <c r="E674" s="1">
        <v>42948</v>
      </c>
      <c r="F674">
        <v>0</v>
      </c>
      <c r="G674" s="1">
        <v>42957</v>
      </c>
      <c r="H674" s="1">
        <v>42968</v>
      </c>
      <c r="I674" t="s">
        <v>15</v>
      </c>
      <c r="J674" s="2">
        <v>1217.72</v>
      </c>
      <c r="K674">
        <v>190.09</v>
      </c>
      <c r="L674" s="2">
        <v>1027.6300000000001</v>
      </c>
      <c r="M674">
        <v>-11</v>
      </c>
      <c r="N674" t="s">
        <v>66</v>
      </c>
    </row>
    <row r="675" spans="1:14" x14ac:dyDescent="0.25">
      <c r="A675" t="s">
        <v>64</v>
      </c>
      <c r="B675">
        <v>661</v>
      </c>
      <c r="C675" s="1">
        <v>42832</v>
      </c>
      <c r="D675" t="s">
        <v>372</v>
      </c>
      <c r="E675" s="1">
        <v>42823</v>
      </c>
      <c r="F675">
        <v>0</v>
      </c>
      <c r="G675" s="1">
        <v>42832</v>
      </c>
      <c r="H675" s="1">
        <v>42843</v>
      </c>
      <c r="I675" t="s">
        <v>15</v>
      </c>
      <c r="J675">
        <v>635.16999999999996</v>
      </c>
      <c r="K675">
        <v>114.35</v>
      </c>
      <c r="L675">
        <v>520.82000000000005</v>
      </c>
      <c r="M675">
        <v>-11</v>
      </c>
      <c r="N675" t="s">
        <v>66</v>
      </c>
    </row>
    <row r="676" spans="1:14" x14ac:dyDescent="0.25">
      <c r="A676" t="s">
        <v>64</v>
      </c>
      <c r="B676">
        <v>1453</v>
      </c>
      <c r="C676" s="1">
        <v>42956</v>
      </c>
      <c r="D676" t="s">
        <v>365</v>
      </c>
      <c r="E676" s="1">
        <v>42948</v>
      </c>
      <c r="F676">
        <v>0</v>
      </c>
      <c r="G676" s="1">
        <v>42957</v>
      </c>
      <c r="H676" s="1">
        <v>42968</v>
      </c>
      <c r="I676" t="s">
        <v>15</v>
      </c>
      <c r="J676">
        <v>68.67</v>
      </c>
      <c r="K676">
        <v>10.72</v>
      </c>
      <c r="L676">
        <v>57.95</v>
      </c>
      <c r="M676">
        <v>-11</v>
      </c>
      <c r="N676" t="s">
        <v>66</v>
      </c>
    </row>
    <row r="677" spans="1:14" x14ac:dyDescent="0.25">
      <c r="A677" t="s">
        <v>64</v>
      </c>
      <c r="B677">
        <v>659</v>
      </c>
      <c r="C677" s="1">
        <v>42832</v>
      </c>
      <c r="D677" t="s">
        <v>373</v>
      </c>
      <c r="E677" s="1">
        <v>42823</v>
      </c>
      <c r="F677">
        <v>0</v>
      </c>
      <c r="G677" s="1">
        <v>42832</v>
      </c>
      <c r="H677" s="1">
        <v>42843</v>
      </c>
      <c r="I677" t="s">
        <v>15</v>
      </c>
      <c r="J677">
        <v>2.11</v>
      </c>
      <c r="K677">
        <v>0.38</v>
      </c>
      <c r="L677">
        <v>1.73</v>
      </c>
      <c r="M677">
        <v>-11</v>
      </c>
      <c r="N677" t="s">
        <v>66</v>
      </c>
    </row>
    <row r="678" spans="1:14" x14ac:dyDescent="0.25">
      <c r="A678" t="s">
        <v>64</v>
      </c>
      <c r="B678">
        <v>1452</v>
      </c>
      <c r="C678" s="1">
        <v>42956</v>
      </c>
      <c r="D678" t="s">
        <v>374</v>
      </c>
      <c r="E678" s="1">
        <v>42947</v>
      </c>
      <c r="F678">
        <v>0</v>
      </c>
      <c r="G678" s="1">
        <v>42957</v>
      </c>
      <c r="H678" s="1">
        <v>42968</v>
      </c>
      <c r="I678" t="s">
        <v>15</v>
      </c>
      <c r="J678">
        <v>2.2599999999999998</v>
      </c>
      <c r="K678">
        <v>0.41</v>
      </c>
      <c r="L678">
        <v>1.85</v>
      </c>
      <c r="M678">
        <v>-11</v>
      </c>
      <c r="N678" t="s">
        <v>66</v>
      </c>
    </row>
    <row r="679" spans="1:14" x14ac:dyDescent="0.25">
      <c r="A679" t="s">
        <v>64</v>
      </c>
      <c r="B679">
        <v>657</v>
      </c>
      <c r="C679" s="1">
        <v>42832</v>
      </c>
      <c r="D679" t="s">
        <v>375</v>
      </c>
      <c r="E679" s="1">
        <v>42823</v>
      </c>
      <c r="F679">
        <v>0</v>
      </c>
      <c r="G679" s="1">
        <v>42832</v>
      </c>
      <c r="H679" s="1">
        <v>42843</v>
      </c>
      <c r="I679" t="s">
        <v>15</v>
      </c>
      <c r="J679">
        <v>970.34</v>
      </c>
      <c r="K679">
        <v>172.41</v>
      </c>
      <c r="L679">
        <v>797.93</v>
      </c>
      <c r="M679">
        <v>-11</v>
      </c>
      <c r="N679" t="s">
        <v>66</v>
      </c>
    </row>
    <row r="680" spans="1:14" x14ac:dyDescent="0.25">
      <c r="A680" t="s">
        <v>64</v>
      </c>
      <c r="B680">
        <v>440</v>
      </c>
      <c r="C680" s="1">
        <v>42802</v>
      </c>
      <c r="D680" t="s">
        <v>376</v>
      </c>
      <c r="E680" s="1">
        <v>42795</v>
      </c>
      <c r="F680">
        <v>0</v>
      </c>
      <c r="G680" s="1">
        <v>42804</v>
      </c>
      <c r="H680" s="1">
        <v>42815</v>
      </c>
      <c r="I680" t="s">
        <v>15</v>
      </c>
      <c r="J680">
        <v>633.24</v>
      </c>
      <c r="K680">
        <v>73.91</v>
      </c>
      <c r="L680">
        <v>559.33000000000004</v>
      </c>
      <c r="M680">
        <v>-11</v>
      </c>
      <c r="N680" t="s">
        <v>66</v>
      </c>
    </row>
    <row r="681" spans="1:14" x14ac:dyDescent="0.25">
      <c r="A681" t="s">
        <v>64</v>
      </c>
      <c r="B681">
        <v>1464</v>
      </c>
      <c r="C681" s="1">
        <v>42956</v>
      </c>
      <c r="D681" t="s">
        <v>365</v>
      </c>
      <c r="E681" s="1">
        <v>42948</v>
      </c>
      <c r="F681">
        <v>0</v>
      </c>
      <c r="G681" s="1">
        <v>42957</v>
      </c>
      <c r="H681" s="1">
        <v>42968</v>
      </c>
      <c r="I681" t="s">
        <v>15</v>
      </c>
      <c r="J681">
        <v>254.99</v>
      </c>
      <c r="K681">
        <v>39.81</v>
      </c>
      <c r="L681">
        <v>215.18</v>
      </c>
      <c r="M681">
        <v>-11</v>
      </c>
      <c r="N681" t="s">
        <v>66</v>
      </c>
    </row>
    <row r="682" spans="1:14" x14ac:dyDescent="0.25">
      <c r="A682" t="s">
        <v>64</v>
      </c>
      <c r="B682">
        <v>439</v>
      </c>
      <c r="C682" s="1">
        <v>42802</v>
      </c>
      <c r="D682" t="s">
        <v>376</v>
      </c>
      <c r="E682" s="1">
        <v>42795</v>
      </c>
      <c r="F682">
        <v>0</v>
      </c>
      <c r="G682" s="1">
        <v>42804</v>
      </c>
      <c r="H682" s="1">
        <v>42815</v>
      </c>
      <c r="I682" t="s">
        <v>15</v>
      </c>
      <c r="J682">
        <v>190.84</v>
      </c>
      <c r="K682">
        <v>22.27</v>
      </c>
      <c r="L682">
        <v>168.57</v>
      </c>
      <c r="M682">
        <v>-11</v>
      </c>
      <c r="N682" t="s">
        <v>66</v>
      </c>
    </row>
    <row r="683" spans="1:14" x14ac:dyDescent="0.25">
      <c r="A683" t="s">
        <v>64</v>
      </c>
      <c r="B683">
        <v>1462</v>
      </c>
      <c r="C683" s="1">
        <v>42956</v>
      </c>
      <c r="D683" t="s">
        <v>365</v>
      </c>
      <c r="E683" s="1">
        <v>42948</v>
      </c>
      <c r="F683">
        <v>0</v>
      </c>
      <c r="G683" s="1">
        <v>42957</v>
      </c>
      <c r="H683" s="1">
        <v>42968</v>
      </c>
      <c r="I683" t="s">
        <v>15</v>
      </c>
      <c r="J683">
        <v>641.49</v>
      </c>
      <c r="K683">
        <v>100.14</v>
      </c>
      <c r="L683">
        <v>541.35</v>
      </c>
      <c r="M683">
        <v>-11</v>
      </c>
      <c r="N683" t="s">
        <v>66</v>
      </c>
    </row>
    <row r="684" spans="1:14" x14ac:dyDescent="0.25">
      <c r="A684" t="s">
        <v>64</v>
      </c>
      <c r="B684">
        <v>1451</v>
      </c>
      <c r="C684" s="1">
        <v>42956</v>
      </c>
      <c r="D684" t="s">
        <v>377</v>
      </c>
      <c r="E684" s="1">
        <v>42947</v>
      </c>
      <c r="F684">
        <v>0</v>
      </c>
      <c r="G684" s="1">
        <v>42957</v>
      </c>
      <c r="H684" s="1">
        <v>42968</v>
      </c>
      <c r="I684" t="s">
        <v>15</v>
      </c>
      <c r="J684">
        <v>34.270000000000003</v>
      </c>
      <c r="K684">
        <v>6.18</v>
      </c>
      <c r="L684">
        <v>28.09</v>
      </c>
      <c r="M684">
        <v>-11</v>
      </c>
      <c r="N684" t="s">
        <v>66</v>
      </c>
    </row>
    <row r="685" spans="1:14" x14ac:dyDescent="0.25">
      <c r="A685" t="s">
        <v>64</v>
      </c>
      <c r="B685">
        <v>445</v>
      </c>
      <c r="C685" s="1">
        <v>42802</v>
      </c>
      <c r="D685" t="s">
        <v>376</v>
      </c>
      <c r="E685" s="1">
        <v>42795</v>
      </c>
      <c r="F685">
        <v>0</v>
      </c>
      <c r="G685" s="1">
        <v>42804</v>
      </c>
      <c r="H685" s="1">
        <v>42815</v>
      </c>
      <c r="I685" t="s">
        <v>15</v>
      </c>
      <c r="J685">
        <v>140.35</v>
      </c>
      <c r="K685">
        <v>16.38</v>
      </c>
      <c r="L685">
        <v>123.97</v>
      </c>
      <c r="M685">
        <v>-11</v>
      </c>
      <c r="N685" t="s">
        <v>66</v>
      </c>
    </row>
    <row r="686" spans="1:14" x14ac:dyDescent="0.25">
      <c r="A686" t="s">
        <v>64</v>
      </c>
      <c r="B686">
        <v>438</v>
      </c>
      <c r="C686" s="1">
        <v>42802</v>
      </c>
      <c r="D686" t="s">
        <v>378</v>
      </c>
      <c r="E686" s="1">
        <v>42795</v>
      </c>
      <c r="F686">
        <v>0</v>
      </c>
      <c r="G686" s="1">
        <v>42804</v>
      </c>
      <c r="H686" s="1">
        <v>42815</v>
      </c>
      <c r="I686" t="s">
        <v>15</v>
      </c>
      <c r="J686">
        <v>862.24</v>
      </c>
      <c r="K686">
        <v>155.49</v>
      </c>
      <c r="L686">
        <v>706.75</v>
      </c>
      <c r="M686">
        <v>-11</v>
      </c>
      <c r="N686" t="s">
        <v>66</v>
      </c>
    </row>
    <row r="687" spans="1:14" x14ac:dyDescent="0.25">
      <c r="A687" t="s">
        <v>64</v>
      </c>
      <c r="B687">
        <v>443</v>
      </c>
      <c r="C687" s="1">
        <v>42802</v>
      </c>
      <c r="D687" t="s">
        <v>376</v>
      </c>
      <c r="E687" s="1">
        <v>42795</v>
      </c>
      <c r="F687">
        <v>0</v>
      </c>
      <c r="G687" s="1">
        <v>42804</v>
      </c>
      <c r="H687" s="1">
        <v>42815</v>
      </c>
      <c r="I687" t="s">
        <v>15</v>
      </c>
      <c r="J687">
        <v>902.79</v>
      </c>
      <c r="K687">
        <v>105.37</v>
      </c>
      <c r="L687">
        <v>797.42</v>
      </c>
      <c r="M687">
        <v>-11</v>
      </c>
      <c r="N687" t="s">
        <v>66</v>
      </c>
    </row>
    <row r="688" spans="1:14" x14ac:dyDescent="0.25">
      <c r="A688" t="s">
        <v>64</v>
      </c>
      <c r="B688">
        <v>1450</v>
      </c>
      <c r="C688" s="1">
        <v>42956</v>
      </c>
      <c r="D688" t="s">
        <v>379</v>
      </c>
      <c r="E688" s="1">
        <v>42948</v>
      </c>
      <c r="F688">
        <v>0</v>
      </c>
      <c r="G688" s="1">
        <v>42957</v>
      </c>
      <c r="H688" s="1">
        <v>42968</v>
      </c>
      <c r="I688" t="s">
        <v>15</v>
      </c>
      <c r="J688" s="2">
        <v>1257.06</v>
      </c>
      <c r="K688">
        <v>226.68</v>
      </c>
      <c r="L688" s="2">
        <v>1030.3800000000001</v>
      </c>
      <c r="M688">
        <v>-11</v>
      </c>
      <c r="N688" t="s">
        <v>66</v>
      </c>
    </row>
    <row r="689" spans="1:14" x14ac:dyDescent="0.25">
      <c r="A689" t="s">
        <v>64</v>
      </c>
      <c r="B689">
        <v>441</v>
      </c>
      <c r="C689" s="1">
        <v>42802</v>
      </c>
      <c r="D689" t="s">
        <v>376</v>
      </c>
      <c r="E689" s="1">
        <v>42795</v>
      </c>
      <c r="F689">
        <v>0</v>
      </c>
      <c r="G689" s="1">
        <v>42804</v>
      </c>
      <c r="H689" s="1">
        <v>42815</v>
      </c>
      <c r="I689" t="s">
        <v>15</v>
      </c>
      <c r="J689">
        <v>332.65</v>
      </c>
      <c r="K689">
        <v>38.83</v>
      </c>
      <c r="L689">
        <v>293.82</v>
      </c>
      <c r="M689">
        <v>-11</v>
      </c>
      <c r="N689" t="s">
        <v>66</v>
      </c>
    </row>
    <row r="690" spans="1:14" x14ac:dyDescent="0.25">
      <c r="A690" t="s">
        <v>64</v>
      </c>
      <c r="B690">
        <v>437</v>
      </c>
      <c r="C690" s="1">
        <v>42802</v>
      </c>
      <c r="D690" t="s">
        <v>380</v>
      </c>
      <c r="E690" s="1">
        <v>42795</v>
      </c>
      <c r="F690">
        <v>0</v>
      </c>
      <c r="G690" s="1">
        <v>42804</v>
      </c>
      <c r="H690" s="1">
        <v>42815</v>
      </c>
      <c r="I690" t="s">
        <v>15</v>
      </c>
      <c r="J690">
        <v>519.04999999999995</v>
      </c>
      <c r="K690">
        <v>93.6</v>
      </c>
      <c r="L690">
        <v>425.45</v>
      </c>
      <c r="M690">
        <v>-11</v>
      </c>
      <c r="N690" t="s">
        <v>66</v>
      </c>
    </row>
    <row r="691" spans="1:14" x14ac:dyDescent="0.25">
      <c r="A691" t="s">
        <v>64</v>
      </c>
      <c r="B691">
        <v>1459</v>
      </c>
      <c r="C691" s="1">
        <v>42956</v>
      </c>
      <c r="D691" t="s">
        <v>365</v>
      </c>
      <c r="E691" s="1">
        <v>42948</v>
      </c>
      <c r="F691">
        <v>0</v>
      </c>
      <c r="G691" s="1">
        <v>42957</v>
      </c>
      <c r="H691" s="1">
        <v>42968</v>
      </c>
      <c r="I691" t="s">
        <v>15</v>
      </c>
      <c r="J691">
        <v>105.36</v>
      </c>
      <c r="K691">
        <v>16.45</v>
      </c>
      <c r="L691">
        <v>88.91</v>
      </c>
      <c r="M691">
        <v>-11</v>
      </c>
      <c r="N691" t="s">
        <v>66</v>
      </c>
    </row>
    <row r="692" spans="1:14" x14ac:dyDescent="0.25">
      <c r="A692" t="s">
        <v>64</v>
      </c>
      <c r="B692">
        <v>1449</v>
      </c>
      <c r="C692" s="1">
        <v>42956</v>
      </c>
      <c r="D692" t="s">
        <v>381</v>
      </c>
      <c r="E692" s="1">
        <v>42948</v>
      </c>
      <c r="F692">
        <v>0</v>
      </c>
      <c r="G692" s="1">
        <v>42957</v>
      </c>
      <c r="H692" s="1">
        <v>42968</v>
      </c>
      <c r="I692" t="s">
        <v>15</v>
      </c>
      <c r="J692">
        <v>546.16</v>
      </c>
      <c r="K692">
        <v>98.49</v>
      </c>
      <c r="L692">
        <v>447.67</v>
      </c>
      <c r="M692">
        <v>-11</v>
      </c>
      <c r="N692" t="s">
        <v>66</v>
      </c>
    </row>
    <row r="693" spans="1:14" x14ac:dyDescent="0.25">
      <c r="A693" t="s">
        <v>64</v>
      </c>
      <c r="B693">
        <v>1457</v>
      </c>
      <c r="C693" s="1">
        <v>42956</v>
      </c>
      <c r="D693" t="s">
        <v>382</v>
      </c>
      <c r="E693" s="1">
        <v>42947</v>
      </c>
      <c r="F693">
        <v>0</v>
      </c>
      <c r="G693" s="1">
        <v>42957</v>
      </c>
      <c r="H693" s="1">
        <v>42968</v>
      </c>
      <c r="I693" t="s">
        <v>15</v>
      </c>
      <c r="J693">
        <v>34.619999999999997</v>
      </c>
      <c r="K693">
        <v>6.24</v>
      </c>
      <c r="L693">
        <v>28.38</v>
      </c>
      <c r="M693">
        <v>-11</v>
      </c>
      <c r="N693" t="s">
        <v>66</v>
      </c>
    </row>
    <row r="694" spans="1:14" x14ac:dyDescent="0.25">
      <c r="A694" t="s">
        <v>64</v>
      </c>
      <c r="B694">
        <v>1466</v>
      </c>
      <c r="C694" s="1">
        <v>42956</v>
      </c>
      <c r="D694" t="s">
        <v>365</v>
      </c>
      <c r="E694" s="1">
        <v>42948</v>
      </c>
      <c r="F694">
        <v>0</v>
      </c>
      <c r="G694" s="1">
        <v>42957</v>
      </c>
      <c r="H694" s="1">
        <v>42968</v>
      </c>
      <c r="I694" t="s">
        <v>15</v>
      </c>
      <c r="J694">
        <v>117.51</v>
      </c>
      <c r="K694">
        <v>18.34</v>
      </c>
      <c r="L694">
        <v>99.17</v>
      </c>
      <c r="M694">
        <v>-11</v>
      </c>
      <c r="N694" t="s">
        <v>66</v>
      </c>
    </row>
    <row r="695" spans="1:14" x14ac:dyDescent="0.25">
      <c r="A695" t="s">
        <v>64</v>
      </c>
      <c r="B695">
        <v>662</v>
      </c>
      <c r="C695" s="1">
        <v>42832</v>
      </c>
      <c r="D695" t="s">
        <v>383</v>
      </c>
      <c r="E695" s="1">
        <v>42823</v>
      </c>
      <c r="F695">
        <v>0</v>
      </c>
      <c r="G695" s="1">
        <v>42832</v>
      </c>
      <c r="H695" s="1">
        <v>42843</v>
      </c>
      <c r="I695" t="s">
        <v>15</v>
      </c>
      <c r="J695">
        <v>153.76</v>
      </c>
      <c r="K695">
        <v>14.44</v>
      </c>
      <c r="L695">
        <v>139.32</v>
      </c>
      <c r="M695">
        <v>-11</v>
      </c>
      <c r="N695" t="s">
        <v>66</v>
      </c>
    </row>
    <row r="696" spans="1:14" x14ac:dyDescent="0.25">
      <c r="A696" t="s">
        <v>64</v>
      </c>
      <c r="B696">
        <v>1467</v>
      </c>
      <c r="C696" s="1">
        <v>42956</v>
      </c>
      <c r="D696" t="s">
        <v>384</v>
      </c>
      <c r="E696" s="1">
        <v>42947</v>
      </c>
      <c r="F696">
        <v>0</v>
      </c>
      <c r="G696" s="1">
        <v>42957</v>
      </c>
      <c r="H696" s="1">
        <v>42968</v>
      </c>
      <c r="I696" t="s">
        <v>15</v>
      </c>
      <c r="J696">
        <v>15.76</v>
      </c>
      <c r="K696">
        <v>2.84</v>
      </c>
      <c r="L696">
        <v>12.92</v>
      </c>
      <c r="M696">
        <v>-11</v>
      </c>
      <c r="N696" t="s">
        <v>66</v>
      </c>
    </row>
    <row r="697" spans="1:14" x14ac:dyDescent="0.25">
      <c r="A697" t="s">
        <v>64</v>
      </c>
      <c r="B697">
        <v>1458</v>
      </c>
      <c r="C697" s="1">
        <v>42956</v>
      </c>
      <c r="D697" t="s">
        <v>385</v>
      </c>
      <c r="E697" s="1">
        <v>42947</v>
      </c>
      <c r="F697">
        <v>0</v>
      </c>
      <c r="G697" s="1">
        <v>42957</v>
      </c>
      <c r="H697" s="1">
        <v>42968</v>
      </c>
      <c r="I697" t="s">
        <v>15</v>
      </c>
      <c r="J697">
        <v>73.19</v>
      </c>
      <c r="K697">
        <v>13.2</v>
      </c>
      <c r="L697">
        <v>59.99</v>
      </c>
      <c r="M697">
        <v>-11</v>
      </c>
      <c r="N697" t="s">
        <v>66</v>
      </c>
    </row>
    <row r="698" spans="1:14" x14ac:dyDescent="0.25">
      <c r="A698" t="s">
        <v>64</v>
      </c>
      <c r="B698">
        <v>658</v>
      </c>
      <c r="C698" s="1">
        <v>42832</v>
      </c>
      <c r="D698" t="s">
        <v>386</v>
      </c>
      <c r="E698" s="1">
        <v>42823</v>
      </c>
      <c r="F698">
        <v>0</v>
      </c>
      <c r="G698" s="1">
        <v>42832</v>
      </c>
      <c r="H698" s="1">
        <v>42843</v>
      </c>
      <c r="I698" t="s">
        <v>15</v>
      </c>
      <c r="J698">
        <v>2.11</v>
      </c>
      <c r="K698">
        <v>0.38</v>
      </c>
      <c r="L698">
        <v>1.73</v>
      </c>
      <c r="M698">
        <v>-11</v>
      </c>
      <c r="N698" t="s">
        <v>66</v>
      </c>
    </row>
    <row r="699" spans="1:14" x14ac:dyDescent="0.25">
      <c r="A699" t="s">
        <v>64</v>
      </c>
      <c r="B699">
        <v>665</v>
      </c>
      <c r="C699" s="1">
        <v>42832</v>
      </c>
      <c r="D699" t="s">
        <v>387</v>
      </c>
      <c r="E699" s="1">
        <v>42823</v>
      </c>
      <c r="F699">
        <v>0</v>
      </c>
      <c r="G699" s="1">
        <v>42832</v>
      </c>
      <c r="H699" s="1">
        <v>42843</v>
      </c>
      <c r="I699" t="s">
        <v>15</v>
      </c>
      <c r="J699" s="2">
        <v>3752.73</v>
      </c>
      <c r="K699">
        <v>676.53</v>
      </c>
      <c r="L699" s="2">
        <v>3076.2</v>
      </c>
      <c r="M699">
        <v>-11</v>
      </c>
      <c r="N699" t="s">
        <v>66</v>
      </c>
    </row>
    <row r="700" spans="1:14" x14ac:dyDescent="0.25">
      <c r="A700" t="s">
        <v>64</v>
      </c>
      <c r="B700">
        <v>1463</v>
      </c>
      <c r="C700" s="1">
        <v>42956</v>
      </c>
      <c r="D700" t="s">
        <v>388</v>
      </c>
      <c r="E700" s="1">
        <v>42947</v>
      </c>
      <c r="F700">
        <v>0</v>
      </c>
      <c r="G700" s="1">
        <v>42957</v>
      </c>
      <c r="H700" s="1">
        <v>42968</v>
      </c>
      <c r="I700" t="s">
        <v>15</v>
      </c>
      <c r="J700">
        <v>92.99</v>
      </c>
      <c r="K700">
        <v>16.77</v>
      </c>
      <c r="L700">
        <v>76.22</v>
      </c>
      <c r="M700">
        <v>-11</v>
      </c>
      <c r="N700" t="s">
        <v>66</v>
      </c>
    </row>
    <row r="701" spans="1:14" x14ac:dyDescent="0.25">
      <c r="A701" t="s">
        <v>64</v>
      </c>
      <c r="B701">
        <v>660</v>
      </c>
      <c r="C701" s="1">
        <v>42832</v>
      </c>
      <c r="D701" t="s">
        <v>389</v>
      </c>
      <c r="E701" s="1">
        <v>42823</v>
      </c>
      <c r="F701">
        <v>0</v>
      </c>
      <c r="G701" s="1">
        <v>42832</v>
      </c>
      <c r="H701" s="1">
        <v>42843</v>
      </c>
      <c r="I701" t="s">
        <v>15</v>
      </c>
      <c r="J701">
        <v>495.27</v>
      </c>
      <c r="K701">
        <v>89.12</v>
      </c>
      <c r="L701">
        <v>406.15</v>
      </c>
      <c r="M701">
        <v>-11</v>
      </c>
      <c r="N701" t="s">
        <v>66</v>
      </c>
    </row>
    <row r="702" spans="1:14" x14ac:dyDescent="0.25">
      <c r="A702" t="s">
        <v>64</v>
      </c>
      <c r="B702">
        <v>1460</v>
      </c>
      <c r="C702" s="1">
        <v>42956</v>
      </c>
      <c r="D702" t="s">
        <v>390</v>
      </c>
      <c r="E702" s="1">
        <v>42947</v>
      </c>
      <c r="F702">
        <v>0</v>
      </c>
      <c r="G702" s="1">
        <v>42957</v>
      </c>
      <c r="H702" s="1">
        <v>42968</v>
      </c>
      <c r="I702" t="s">
        <v>15</v>
      </c>
      <c r="J702">
        <v>36.69</v>
      </c>
      <c r="K702">
        <v>6.62</v>
      </c>
      <c r="L702">
        <v>30.07</v>
      </c>
      <c r="M702">
        <v>-11</v>
      </c>
      <c r="N702" t="s">
        <v>66</v>
      </c>
    </row>
    <row r="703" spans="1:14" x14ac:dyDescent="0.25">
      <c r="A703" t="s">
        <v>64</v>
      </c>
      <c r="B703">
        <v>656</v>
      </c>
      <c r="C703" s="1">
        <v>42832</v>
      </c>
      <c r="D703" t="s">
        <v>375</v>
      </c>
      <c r="E703" s="1">
        <v>42823</v>
      </c>
      <c r="F703">
        <v>0</v>
      </c>
      <c r="G703" s="1">
        <v>42832</v>
      </c>
      <c r="H703" s="1">
        <v>42843</v>
      </c>
      <c r="I703" t="s">
        <v>15</v>
      </c>
      <c r="J703">
        <v>72.48</v>
      </c>
      <c r="K703">
        <v>12.88</v>
      </c>
      <c r="L703">
        <v>59.6</v>
      </c>
      <c r="M703">
        <v>-11</v>
      </c>
      <c r="N703" t="s">
        <v>66</v>
      </c>
    </row>
    <row r="704" spans="1:14" x14ac:dyDescent="0.25">
      <c r="A704" t="s">
        <v>64</v>
      </c>
      <c r="B704">
        <v>1461</v>
      </c>
      <c r="C704" s="1">
        <v>42956</v>
      </c>
      <c r="D704" t="s">
        <v>391</v>
      </c>
      <c r="E704" s="1">
        <v>42947</v>
      </c>
      <c r="F704">
        <v>0</v>
      </c>
      <c r="G704" s="1">
        <v>42957</v>
      </c>
      <c r="H704" s="1">
        <v>42968</v>
      </c>
      <c r="I704" t="s">
        <v>15</v>
      </c>
      <c r="J704">
        <v>40.5</v>
      </c>
      <c r="K704">
        <v>7.3</v>
      </c>
      <c r="L704">
        <v>33.200000000000003</v>
      </c>
      <c r="M704">
        <v>-11</v>
      </c>
      <c r="N704" t="s">
        <v>66</v>
      </c>
    </row>
    <row r="705" spans="1:14" x14ac:dyDescent="0.25">
      <c r="A705" t="s">
        <v>64</v>
      </c>
      <c r="B705">
        <v>442</v>
      </c>
      <c r="C705" s="1">
        <v>42802</v>
      </c>
      <c r="D705" t="s">
        <v>376</v>
      </c>
      <c r="E705" s="1">
        <v>42795</v>
      </c>
      <c r="F705">
        <v>0</v>
      </c>
      <c r="G705" s="1">
        <v>42804</v>
      </c>
      <c r="H705" s="1">
        <v>42815</v>
      </c>
      <c r="I705" t="s">
        <v>15</v>
      </c>
      <c r="J705" s="2">
        <v>2053.4499999999998</v>
      </c>
      <c r="K705">
        <v>239.66</v>
      </c>
      <c r="L705" s="2">
        <v>1813.79</v>
      </c>
      <c r="M705">
        <v>-11</v>
      </c>
      <c r="N705" t="s">
        <v>66</v>
      </c>
    </row>
    <row r="706" spans="1:14" x14ac:dyDescent="0.25">
      <c r="A706" t="s">
        <v>64</v>
      </c>
      <c r="B706">
        <v>444</v>
      </c>
      <c r="C706" s="1">
        <v>42802</v>
      </c>
      <c r="D706" t="s">
        <v>376</v>
      </c>
      <c r="E706" s="1">
        <v>42795</v>
      </c>
      <c r="F706">
        <v>0</v>
      </c>
      <c r="G706" s="1">
        <v>42804</v>
      </c>
      <c r="H706" s="1">
        <v>42815</v>
      </c>
      <c r="I706" t="s">
        <v>15</v>
      </c>
      <c r="J706">
        <v>369.77</v>
      </c>
      <c r="K706">
        <v>43.16</v>
      </c>
      <c r="L706">
        <v>326.61</v>
      </c>
      <c r="M706">
        <v>-11</v>
      </c>
      <c r="N706" t="s">
        <v>66</v>
      </c>
    </row>
    <row r="707" spans="1:14" x14ac:dyDescent="0.25">
      <c r="A707" t="s">
        <v>64</v>
      </c>
      <c r="B707">
        <v>667</v>
      </c>
      <c r="C707" s="1">
        <v>42832</v>
      </c>
      <c r="D707" t="s">
        <v>369</v>
      </c>
      <c r="E707" s="1">
        <v>42823</v>
      </c>
      <c r="F707">
        <v>0</v>
      </c>
      <c r="G707" s="1">
        <v>42832</v>
      </c>
      <c r="H707" s="1">
        <v>42843</v>
      </c>
      <c r="I707" t="s">
        <v>15</v>
      </c>
      <c r="J707" s="2">
        <v>2897.29</v>
      </c>
      <c r="K707">
        <v>522.29999999999995</v>
      </c>
      <c r="L707" s="2">
        <v>2374.9899999999998</v>
      </c>
      <c r="M707">
        <v>-11</v>
      </c>
      <c r="N707" t="s">
        <v>66</v>
      </c>
    </row>
    <row r="708" spans="1:14" x14ac:dyDescent="0.25">
      <c r="A708" t="s">
        <v>64</v>
      </c>
      <c r="B708">
        <v>1468</v>
      </c>
      <c r="C708" s="1">
        <v>42956</v>
      </c>
      <c r="D708" t="s">
        <v>392</v>
      </c>
      <c r="E708" s="1">
        <v>42947</v>
      </c>
      <c r="F708">
        <v>0</v>
      </c>
      <c r="G708" s="1">
        <v>42957</v>
      </c>
      <c r="H708" s="1">
        <v>42968</v>
      </c>
      <c r="I708" t="s">
        <v>15</v>
      </c>
      <c r="J708">
        <v>2.2599999999999998</v>
      </c>
      <c r="K708">
        <v>0.41</v>
      </c>
      <c r="L708">
        <v>1.85</v>
      </c>
      <c r="M708">
        <v>-11</v>
      </c>
      <c r="N708" t="s">
        <v>66</v>
      </c>
    </row>
    <row r="709" spans="1:14" x14ac:dyDescent="0.25">
      <c r="A709" t="s">
        <v>180</v>
      </c>
      <c r="B709">
        <v>776</v>
      </c>
      <c r="C709" s="1">
        <v>42849</v>
      </c>
      <c r="D709" t="str">
        <f>"64"</f>
        <v>64</v>
      </c>
      <c r="E709" s="1">
        <v>42825</v>
      </c>
      <c r="F709">
        <v>0</v>
      </c>
      <c r="G709" s="1">
        <v>42849</v>
      </c>
      <c r="H709" s="1">
        <v>42860</v>
      </c>
      <c r="I709" t="s">
        <v>15</v>
      </c>
      <c r="J709">
        <v>80</v>
      </c>
      <c r="K709">
        <v>14.43</v>
      </c>
      <c r="L709">
        <v>65.569999999999993</v>
      </c>
      <c r="M709">
        <v>-11</v>
      </c>
      <c r="N709" t="s">
        <v>16</v>
      </c>
    </row>
    <row r="710" spans="1:14" x14ac:dyDescent="0.25">
      <c r="A710" t="s">
        <v>180</v>
      </c>
      <c r="B710">
        <v>2098</v>
      </c>
      <c r="C710" s="1">
        <v>43066</v>
      </c>
      <c r="D710" t="str">
        <f>"251"</f>
        <v>251</v>
      </c>
      <c r="E710" s="1">
        <v>43039</v>
      </c>
      <c r="F710">
        <v>0</v>
      </c>
      <c r="G710" s="1">
        <v>43067</v>
      </c>
      <c r="H710" s="1">
        <v>43078</v>
      </c>
      <c r="I710" t="s">
        <v>15</v>
      </c>
      <c r="J710">
        <v>445.3</v>
      </c>
      <c r="K710">
        <v>80.3</v>
      </c>
      <c r="L710">
        <v>365</v>
      </c>
      <c r="M710">
        <v>-11</v>
      </c>
      <c r="N710" t="s">
        <v>66</v>
      </c>
    </row>
    <row r="711" spans="1:14" x14ac:dyDescent="0.25">
      <c r="A711" t="s">
        <v>180</v>
      </c>
      <c r="B711">
        <v>774</v>
      </c>
      <c r="C711" s="1">
        <v>42849</v>
      </c>
      <c r="D711" t="str">
        <f>"64"</f>
        <v>64</v>
      </c>
      <c r="E711" s="1">
        <v>42825</v>
      </c>
      <c r="F711">
        <v>0</v>
      </c>
      <c r="G711" s="1">
        <v>42849</v>
      </c>
      <c r="H711" s="1">
        <v>42860</v>
      </c>
      <c r="I711" t="s">
        <v>15</v>
      </c>
      <c r="J711">
        <v>500</v>
      </c>
      <c r="K711">
        <v>90.16</v>
      </c>
      <c r="L711">
        <v>409.84</v>
      </c>
      <c r="M711">
        <v>-11</v>
      </c>
      <c r="N711" t="s">
        <v>16</v>
      </c>
    </row>
    <row r="712" spans="1:14" x14ac:dyDescent="0.25">
      <c r="A712" t="s">
        <v>180</v>
      </c>
      <c r="B712">
        <v>778</v>
      </c>
      <c r="C712" s="1">
        <v>42849</v>
      </c>
      <c r="D712" t="str">
        <f>"64"</f>
        <v>64</v>
      </c>
      <c r="E712" s="1">
        <v>42825</v>
      </c>
      <c r="F712">
        <v>0</v>
      </c>
      <c r="G712" s="1">
        <v>42849</v>
      </c>
      <c r="H712" s="1">
        <v>42860</v>
      </c>
      <c r="I712" t="s">
        <v>15</v>
      </c>
      <c r="J712">
        <v>50</v>
      </c>
      <c r="K712">
        <v>9.02</v>
      </c>
      <c r="L712">
        <v>40.98</v>
      </c>
      <c r="M712">
        <v>-11</v>
      </c>
      <c r="N712" t="s">
        <v>16</v>
      </c>
    </row>
    <row r="713" spans="1:14" x14ac:dyDescent="0.25">
      <c r="A713" t="s">
        <v>180</v>
      </c>
      <c r="B713">
        <v>775</v>
      </c>
      <c r="C713" s="1">
        <v>42849</v>
      </c>
      <c r="D713" t="str">
        <f>"64"</f>
        <v>64</v>
      </c>
      <c r="E713" s="1">
        <v>42825</v>
      </c>
      <c r="F713">
        <v>0</v>
      </c>
      <c r="G713" s="1">
        <v>42849</v>
      </c>
      <c r="H713" s="1">
        <v>42860</v>
      </c>
      <c r="I713" t="s">
        <v>15</v>
      </c>
      <c r="J713">
        <v>194.59</v>
      </c>
      <c r="K713">
        <v>35.090000000000003</v>
      </c>
      <c r="L713">
        <v>159.5</v>
      </c>
      <c r="M713">
        <v>-11</v>
      </c>
      <c r="N713" t="s">
        <v>16</v>
      </c>
    </row>
    <row r="714" spans="1:14" x14ac:dyDescent="0.25">
      <c r="A714" t="s">
        <v>180</v>
      </c>
      <c r="B714">
        <v>777</v>
      </c>
      <c r="C714" s="1">
        <v>42849</v>
      </c>
      <c r="D714" t="str">
        <f>"64"</f>
        <v>64</v>
      </c>
      <c r="E714" s="1">
        <v>42825</v>
      </c>
      <c r="F714">
        <v>0</v>
      </c>
      <c r="G714" s="1">
        <v>42849</v>
      </c>
      <c r="H714" s="1">
        <v>42860</v>
      </c>
      <c r="I714" t="s">
        <v>15</v>
      </c>
      <c r="J714">
        <v>500</v>
      </c>
      <c r="K714">
        <v>90.16</v>
      </c>
      <c r="L714">
        <v>409.84</v>
      </c>
      <c r="M714">
        <v>-11</v>
      </c>
      <c r="N714" t="s">
        <v>16</v>
      </c>
    </row>
    <row r="715" spans="1:14" x14ac:dyDescent="0.25">
      <c r="A715" t="s">
        <v>31</v>
      </c>
      <c r="B715">
        <v>1573</v>
      </c>
      <c r="C715" s="1">
        <v>42971</v>
      </c>
      <c r="D715" t="s">
        <v>393</v>
      </c>
      <c r="E715" s="1">
        <v>42954</v>
      </c>
      <c r="F715">
        <v>0</v>
      </c>
      <c r="G715" s="1">
        <v>42972</v>
      </c>
      <c r="H715" s="1">
        <v>42984</v>
      </c>
      <c r="I715" t="s">
        <v>15</v>
      </c>
      <c r="J715">
        <v>10.92</v>
      </c>
      <c r="K715">
        <v>0.52</v>
      </c>
      <c r="L715">
        <v>10.4</v>
      </c>
      <c r="M715">
        <v>-12</v>
      </c>
      <c r="N715" t="s">
        <v>33</v>
      </c>
    </row>
    <row r="716" spans="1:14" x14ac:dyDescent="0.25">
      <c r="A716" t="s">
        <v>64</v>
      </c>
      <c r="B716">
        <v>1044</v>
      </c>
      <c r="C716" s="1">
        <v>42895</v>
      </c>
      <c r="D716" t="s">
        <v>394</v>
      </c>
      <c r="E716" s="1">
        <v>42887</v>
      </c>
      <c r="F716">
        <v>0</v>
      </c>
      <c r="G716" s="1">
        <v>42895</v>
      </c>
      <c r="H716" s="1">
        <v>42907</v>
      </c>
      <c r="I716" t="s">
        <v>15</v>
      </c>
      <c r="J716">
        <v>125.84</v>
      </c>
      <c r="K716">
        <v>14.78</v>
      </c>
      <c r="L716">
        <v>111.06</v>
      </c>
      <c r="M716">
        <v>-12</v>
      </c>
      <c r="N716" t="s">
        <v>66</v>
      </c>
    </row>
    <row r="717" spans="1:14" x14ac:dyDescent="0.25">
      <c r="A717" t="s">
        <v>64</v>
      </c>
      <c r="B717">
        <v>1038</v>
      </c>
      <c r="C717" s="1">
        <v>42895</v>
      </c>
      <c r="D717" t="s">
        <v>394</v>
      </c>
      <c r="E717" s="1">
        <v>42887</v>
      </c>
      <c r="F717">
        <v>0</v>
      </c>
      <c r="G717" s="1">
        <v>42895</v>
      </c>
      <c r="H717" s="1">
        <v>42907</v>
      </c>
      <c r="I717" t="s">
        <v>15</v>
      </c>
      <c r="J717">
        <v>63.6</v>
      </c>
      <c r="K717">
        <v>7.47</v>
      </c>
      <c r="L717">
        <v>56.13</v>
      </c>
      <c r="M717">
        <v>-12</v>
      </c>
      <c r="N717" t="s">
        <v>66</v>
      </c>
    </row>
    <row r="718" spans="1:14" x14ac:dyDescent="0.25">
      <c r="A718" t="s">
        <v>64</v>
      </c>
      <c r="B718">
        <v>1039</v>
      </c>
      <c r="C718" s="1">
        <v>42895</v>
      </c>
      <c r="D718" t="s">
        <v>394</v>
      </c>
      <c r="E718" s="1">
        <v>42887</v>
      </c>
      <c r="F718">
        <v>0</v>
      </c>
      <c r="G718" s="1">
        <v>42895</v>
      </c>
      <c r="H718" s="1">
        <v>42907</v>
      </c>
      <c r="I718" t="s">
        <v>15</v>
      </c>
      <c r="J718">
        <v>319.55</v>
      </c>
      <c r="K718">
        <v>37.54</v>
      </c>
      <c r="L718">
        <v>282.01</v>
      </c>
      <c r="M718">
        <v>-12</v>
      </c>
      <c r="N718" t="s">
        <v>66</v>
      </c>
    </row>
    <row r="719" spans="1:14" x14ac:dyDescent="0.25">
      <c r="A719" t="s">
        <v>64</v>
      </c>
      <c r="B719">
        <v>1043</v>
      </c>
      <c r="C719" s="1">
        <v>42895</v>
      </c>
      <c r="D719" t="s">
        <v>394</v>
      </c>
      <c r="E719" s="1">
        <v>42887</v>
      </c>
      <c r="F719">
        <v>0</v>
      </c>
      <c r="G719" s="1">
        <v>42895</v>
      </c>
      <c r="H719" s="1">
        <v>42907</v>
      </c>
      <c r="I719" t="s">
        <v>15</v>
      </c>
      <c r="J719">
        <v>277.02999999999997</v>
      </c>
      <c r="K719">
        <v>32.54</v>
      </c>
      <c r="L719">
        <v>244.49</v>
      </c>
      <c r="M719">
        <v>-12</v>
      </c>
      <c r="N719" t="s">
        <v>66</v>
      </c>
    </row>
    <row r="720" spans="1:14" x14ac:dyDescent="0.25">
      <c r="A720" t="s">
        <v>64</v>
      </c>
      <c r="B720">
        <v>1036</v>
      </c>
      <c r="C720" s="1">
        <v>42895</v>
      </c>
      <c r="D720" t="s">
        <v>395</v>
      </c>
      <c r="E720" s="1">
        <v>42887</v>
      </c>
      <c r="F720">
        <v>0</v>
      </c>
      <c r="G720" s="1">
        <v>42895</v>
      </c>
      <c r="H720" s="1">
        <v>42907</v>
      </c>
      <c r="I720" t="s">
        <v>15</v>
      </c>
      <c r="J720">
        <v>478.84</v>
      </c>
      <c r="K720">
        <v>86.35</v>
      </c>
      <c r="L720">
        <v>392.49</v>
      </c>
      <c r="M720">
        <v>-12</v>
      </c>
      <c r="N720" t="s">
        <v>66</v>
      </c>
    </row>
    <row r="721" spans="1:14" x14ac:dyDescent="0.25">
      <c r="A721" t="s">
        <v>64</v>
      </c>
      <c r="B721">
        <v>1037</v>
      </c>
      <c r="C721" s="1">
        <v>42895</v>
      </c>
      <c r="D721" t="s">
        <v>396</v>
      </c>
      <c r="E721" s="1">
        <v>42887</v>
      </c>
      <c r="F721">
        <v>0</v>
      </c>
      <c r="G721" s="1">
        <v>42895</v>
      </c>
      <c r="H721" s="1">
        <v>42907</v>
      </c>
      <c r="I721" t="s">
        <v>15</v>
      </c>
      <c r="J721">
        <v>416.68</v>
      </c>
      <c r="K721">
        <v>75.14</v>
      </c>
      <c r="L721">
        <v>341.54</v>
      </c>
      <c r="M721">
        <v>-12</v>
      </c>
      <c r="N721" t="s">
        <v>66</v>
      </c>
    </row>
    <row r="722" spans="1:14" x14ac:dyDescent="0.25">
      <c r="A722" t="s">
        <v>64</v>
      </c>
      <c r="B722">
        <v>1042</v>
      </c>
      <c r="C722" s="1">
        <v>42895</v>
      </c>
      <c r="D722" t="s">
        <v>394</v>
      </c>
      <c r="E722" s="1">
        <v>42887</v>
      </c>
      <c r="F722">
        <v>0</v>
      </c>
      <c r="G722" s="1">
        <v>42895</v>
      </c>
      <c r="H722" s="1">
        <v>42907</v>
      </c>
      <c r="I722" t="s">
        <v>15</v>
      </c>
      <c r="J722">
        <v>362.4</v>
      </c>
      <c r="K722">
        <v>42.57</v>
      </c>
      <c r="L722">
        <v>319.83</v>
      </c>
      <c r="M722">
        <v>-12</v>
      </c>
      <c r="N722" t="s">
        <v>66</v>
      </c>
    </row>
    <row r="723" spans="1:14" x14ac:dyDescent="0.25">
      <c r="A723" t="s">
        <v>64</v>
      </c>
      <c r="B723">
        <v>1041</v>
      </c>
      <c r="C723" s="1">
        <v>42895</v>
      </c>
      <c r="D723" t="s">
        <v>394</v>
      </c>
      <c r="E723" s="1">
        <v>42887</v>
      </c>
      <c r="F723">
        <v>0</v>
      </c>
      <c r="G723" s="1">
        <v>42895</v>
      </c>
      <c r="H723" s="1">
        <v>42907</v>
      </c>
      <c r="I723" t="s">
        <v>15</v>
      </c>
      <c r="J723" s="2">
        <v>1275.42</v>
      </c>
      <c r="K723">
        <v>149.82</v>
      </c>
      <c r="L723" s="2">
        <v>1125.5999999999999</v>
      </c>
      <c r="M723">
        <v>-12</v>
      </c>
      <c r="N723" t="s">
        <v>66</v>
      </c>
    </row>
    <row r="724" spans="1:14" x14ac:dyDescent="0.25">
      <c r="A724" t="s">
        <v>64</v>
      </c>
      <c r="B724">
        <v>1040</v>
      </c>
      <c r="C724" s="1">
        <v>42895</v>
      </c>
      <c r="D724" t="s">
        <v>394</v>
      </c>
      <c r="E724" s="1">
        <v>42887</v>
      </c>
      <c r="F724">
        <v>0</v>
      </c>
      <c r="G724" s="1">
        <v>42895</v>
      </c>
      <c r="H724" s="1">
        <v>42907</v>
      </c>
      <c r="I724" t="s">
        <v>15</v>
      </c>
      <c r="J724">
        <v>222.75</v>
      </c>
      <c r="K724">
        <v>26.16</v>
      </c>
      <c r="L724">
        <v>196.59</v>
      </c>
      <c r="M724">
        <v>-12</v>
      </c>
      <c r="N724" t="s">
        <v>66</v>
      </c>
    </row>
    <row r="725" spans="1:14" x14ac:dyDescent="0.25">
      <c r="A725" t="s">
        <v>35</v>
      </c>
      <c r="B725">
        <v>1309</v>
      </c>
      <c r="C725" s="1">
        <v>42934</v>
      </c>
      <c r="D725" t="s">
        <v>397</v>
      </c>
      <c r="E725" s="1">
        <v>42916</v>
      </c>
      <c r="F725">
        <v>0</v>
      </c>
      <c r="G725" s="1">
        <v>42934</v>
      </c>
      <c r="H725" s="1">
        <v>42946</v>
      </c>
      <c r="I725" t="s">
        <v>15</v>
      </c>
      <c r="J725">
        <v>913.17</v>
      </c>
      <c r="K725">
        <v>164.67</v>
      </c>
      <c r="L725">
        <v>748.5</v>
      </c>
      <c r="M725">
        <v>-12</v>
      </c>
      <c r="N725" t="s">
        <v>18</v>
      </c>
    </row>
    <row r="726" spans="1:14" x14ac:dyDescent="0.25">
      <c r="A726" t="s">
        <v>178</v>
      </c>
      <c r="B726">
        <v>937</v>
      </c>
      <c r="C726" s="1">
        <v>42872</v>
      </c>
      <c r="D726" t="s">
        <v>398</v>
      </c>
      <c r="E726" s="1">
        <v>42855</v>
      </c>
      <c r="F726">
        <v>0</v>
      </c>
      <c r="G726" s="1">
        <v>42873</v>
      </c>
      <c r="H726" s="1">
        <v>42885</v>
      </c>
      <c r="I726" t="s">
        <v>15</v>
      </c>
      <c r="J726" s="2">
        <v>1876</v>
      </c>
      <c r="K726">
        <v>0</v>
      </c>
      <c r="L726" s="2">
        <v>1876</v>
      </c>
      <c r="M726">
        <v>-12</v>
      </c>
      <c r="N726" t="s">
        <v>62</v>
      </c>
    </row>
    <row r="727" spans="1:14" x14ac:dyDescent="0.25">
      <c r="A727" t="s">
        <v>252</v>
      </c>
      <c r="B727">
        <v>942</v>
      </c>
      <c r="C727" s="1">
        <v>42873</v>
      </c>
      <c r="D727" t="s">
        <v>399</v>
      </c>
      <c r="E727" s="1">
        <v>42855</v>
      </c>
      <c r="F727">
        <v>0</v>
      </c>
      <c r="G727" s="1">
        <v>42873</v>
      </c>
      <c r="H727" s="1">
        <v>42885</v>
      </c>
      <c r="I727" t="s">
        <v>15</v>
      </c>
      <c r="J727">
        <v>76.86</v>
      </c>
      <c r="K727">
        <v>13.86</v>
      </c>
      <c r="L727">
        <v>63</v>
      </c>
      <c r="M727">
        <v>-12</v>
      </c>
      <c r="N727" t="s">
        <v>136</v>
      </c>
    </row>
    <row r="728" spans="1:14" x14ac:dyDescent="0.25">
      <c r="A728" t="s">
        <v>252</v>
      </c>
      <c r="B728">
        <v>941</v>
      </c>
      <c r="C728" s="1">
        <v>42873</v>
      </c>
      <c r="D728" t="s">
        <v>400</v>
      </c>
      <c r="E728" s="1">
        <v>42855</v>
      </c>
      <c r="F728">
        <v>0</v>
      </c>
      <c r="G728" s="1">
        <v>42873</v>
      </c>
      <c r="H728" s="1">
        <v>42885</v>
      </c>
      <c r="I728" t="s">
        <v>15</v>
      </c>
      <c r="J728">
        <v>94.28</v>
      </c>
      <c r="K728">
        <v>17</v>
      </c>
      <c r="L728">
        <v>77.28</v>
      </c>
      <c r="M728">
        <v>-12</v>
      </c>
      <c r="N728" t="s">
        <v>136</v>
      </c>
    </row>
    <row r="729" spans="1:14" x14ac:dyDescent="0.25">
      <c r="A729" t="s">
        <v>60</v>
      </c>
      <c r="B729">
        <v>1634</v>
      </c>
      <c r="C729" s="1">
        <v>42993</v>
      </c>
      <c r="D729" t="str">
        <f>"2017140001681"</f>
        <v>2017140001681</v>
      </c>
      <c r="E729" s="1">
        <v>42975</v>
      </c>
      <c r="F729">
        <v>0</v>
      </c>
      <c r="G729" s="1">
        <v>42993</v>
      </c>
      <c r="H729" s="1">
        <v>43006</v>
      </c>
      <c r="I729" t="s">
        <v>15</v>
      </c>
      <c r="J729">
        <v>305</v>
      </c>
      <c r="K729">
        <v>55</v>
      </c>
      <c r="L729">
        <v>250</v>
      </c>
      <c r="M729">
        <v>-13</v>
      </c>
      <c r="N729" t="s">
        <v>27</v>
      </c>
    </row>
    <row r="730" spans="1:14" x14ac:dyDescent="0.25">
      <c r="A730" t="s">
        <v>31</v>
      </c>
      <c r="B730">
        <v>174</v>
      </c>
      <c r="C730" s="1">
        <v>42765</v>
      </c>
      <c r="D730" t="s">
        <v>401</v>
      </c>
      <c r="E730" s="1">
        <v>42748</v>
      </c>
      <c r="F730">
        <v>0</v>
      </c>
      <c r="G730" s="1">
        <v>42765</v>
      </c>
      <c r="H730" s="1">
        <v>42778</v>
      </c>
      <c r="I730" t="s">
        <v>15</v>
      </c>
      <c r="J730" s="2">
        <v>1901.45</v>
      </c>
      <c r="K730">
        <v>90.55</v>
      </c>
      <c r="L730" s="2">
        <v>1810.9</v>
      </c>
      <c r="M730">
        <v>-13</v>
      </c>
      <c r="N730" t="s">
        <v>289</v>
      </c>
    </row>
    <row r="731" spans="1:14" x14ac:dyDescent="0.25">
      <c r="A731" t="s">
        <v>31</v>
      </c>
      <c r="B731">
        <v>173</v>
      </c>
      <c r="C731" s="1">
        <v>42765</v>
      </c>
      <c r="D731" t="s">
        <v>402</v>
      </c>
      <c r="E731" s="1">
        <v>42748</v>
      </c>
      <c r="F731">
        <v>0</v>
      </c>
      <c r="G731" s="1">
        <v>42765</v>
      </c>
      <c r="H731" s="1">
        <v>42778</v>
      </c>
      <c r="I731" t="s">
        <v>15</v>
      </c>
      <c r="J731" s="2">
        <v>2162.63</v>
      </c>
      <c r="K731">
        <v>102.98</v>
      </c>
      <c r="L731" s="2">
        <v>2059.65</v>
      </c>
      <c r="M731">
        <v>-13</v>
      </c>
      <c r="N731" t="s">
        <v>289</v>
      </c>
    </row>
    <row r="732" spans="1:14" x14ac:dyDescent="0.25">
      <c r="A732" t="s">
        <v>241</v>
      </c>
      <c r="B732">
        <v>857</v>
      </c>
      <c r="C732" s="1">
        <v>42871</v>
      </c>
      <c r="D732" t="s">
        <v>403</v>
      </c>
      <c r="E732" s="1">
        <v>42853</v>
      </c>
      <c r="F732">
        <v>0</v>
      </c>
      <c r="G732" s="1">
        <v>42873</v>
      </c>
      <c r="H732" s="1">
        <v>42886</v>
      </c>
      <c r="I732" t="s">
        <v>15</v>
      </c>
      <c r="J732">
        <v>723.59</v>
      </c>
      <c r="K732">
        <v>130.47999999999999</v>
      </c>
      <c r="L732">
        <v>593.11</v>
      </c>
      <c r="M732">
        <v>-13</v>
      </c>
      <c r="N732" t="s">
        <v>145</v>
      </c>
    </row>
    <row r="733" spans="1:14" x14ac:dyDescent="0.25">
      <c r="A733" t="s">
        <v>404</v>
      </c>
      <c r="B733">
        <v>935</v>
      </c>
      <c r="C733" s="1">
        <v>42872</v>
      </c>
      <c r="D733" t="s">
        <v>405</v>
      </c>
      <c r="E733" s="1">
        <v>42825</v>
      </c>
      <c r="F733">
        <v>0</v>
      </c>
      <c r="G733" s="1">
        <v>42873</v>
      </c>
      <c r="H733" s="1">
        <v>42886</v>
      </c>
      <c r="I733" t="s">
        <v>15</v>
      </c>
      <c r="J733" s="2">
        <v>4509.5</v>
      </c>
      <c r="K733">
        <v>0</v>
      </c>
      <c r="L733" s="2">
        <v>4509.5</v>
      </c>
      <c r="M733">
        <v>-13</v>
      </c>
      <c r="N733" t="s">
        <v>406</v>
      </c>
    </row>
    <row r="734" spans="1:14" x14ac:dyDescent="0.25">
      <c r="A734" t="s">
        <v>45</v>
      </c>
      <c r="B734">
        <v>1275</v>
      </c>
      <c r="C734" s="1">
        <v>42933</v>
      </c>
      <c r="D734" s="4">
        <v>42826</v>
      </c>
      <c r="E734" s="1">
        <v>42916</v>
      </c>
      <c r="F734">
        <v>0</v>
      </c>
      <c r="G734" s="1">
        <v>42934</v>
      </c>
      <c r="H734" s="1">
        <v>42947</v>
      </c>
      <c r="I734" t="s">
        <v>15</v>
      </c>
      <c r="J734" s="2">
        <v>5856</v>
      </c>
      <c r="K734" s="2">
        <v>1056</v>
      </c>
      <c r="L734" s="2">
        <v>4800</v>
      </c>
      <c r="M734">
        <v>-13</v>
      </c>
      <c r="N734" t="s">
        <v>30</v>
      </c>
    </row>
    <row r="735" spans="1:14" x14ac:dyDescent="0.25">
      <c r="A735" t="s">
        <v>45</v>
      </c>
      <c r="B735">
        <v>1308</v>
      </c>
      <c r="C735" s="1">
        <v>42934</v>
      </c>
      <c r="D735" s="4">
        <v>42856</v>
      </c>
      <c r="E735" s="1">
        <v>42916</v>
      </c>
      <c r="F735">
        <v>0</v>
      </c>
      <c r="G735" s="1">
        <v>42934</v>
      </c>
      <c r="H735" s="1">
        <v>42947</v>
      </c>
      <c r="I735" t="s">
        <v>15</v>
      </c>
      <c r="J735" s="2">
        <v>3172</v>
      </c>
      <c r="K735">
        <v>572</v>
      </c>
      <c r="L735" s="2">
        <v>2600</v>
      </c>
      <c r="M735">
        <v>-13</v>
      </c>
      <c r="N735" t="s">
        <v>30</v>
      </c>
    </row>
    <row r="736" spans="1:14" x14ac:dyDescent="0.25">
      <c r="A736" t="s">
        <v>407</v>
      </c>
      <c r="B736">
        <v>597</v>
      </c>
      <c r="C736" s="1">
        <v>42830</v>
      </c>
      <c r="D736" t="str">
        <f>"19899931"</f>
        <v>19899931</v>
      </c>
      <c r="E736" s="1">
        <v>42815</v>
      </c>
      <c r="F736">
        <v>0</v>
      </c>
      <c r="G736" s="1">
        <v>42832</v>
      </c>
      <c r="H736" s="1">
        <v>42845</v>
      </c>
      <c r="I736" t="s">
        <v>15</v>
      </c>
      <c r="J736">
        <v>180</v>
      </c>
      <c r="K736">
        <v>0</v>
      </c>
      <c r="L736">
        <v>180</v>
      </c>
      <c r="M736">
        <v>-13</v>
      </c>
      <c r="N736" t="s">
        <v>145</v>
      </c>
    </row>
    <row r="737" spans="1:14" x14ac:dyDescent="0.25">
      <c r="A737" t="s">
        <v>407</v>
      </c>
      <c r="B737">
        <v>599</v>
      </c>
      <c r="C737" s="1">
        <v>42830</v>
      </c>
      <c r="D737" t="str">
        <f>"19899931"</f>
        <v>19899931</v>
      </c>
      <c r="E737" s="1">
        <v>42815</v>
      </c>
      <c r="F737">
        <v>0</v>
      </c>
      <c r="G737" s="1">
        <v>42832</v>
      </c>
      <c r="H737" s="1">
        <v>42845</v>
      </c>
      <c r="I737" t="s">
        <v>15</v>
      </c>
      <c r="J737">
        <v>750</v>
      </c>
      <c r="K737">
        <v>0</v>
      </c>
      <c r="L737">
        <v>750</v>
      </c>
      <c r="M737">
        <v>-13</v>
      </c>
      <c r="N737" t="s">
        <v>145</v>
      </c>
    </row>
    <row r="738" spans="1:14" x14ac:dyDescent="0.25">
      <c r="A738" t="s">
        <v>407</v>
      </c>
      <c r="B738">
        <v>600</v>
      </c>
      <c r="C738" s="1">
        <v>42830</v>
      </c>
      <c r="D738" t="str">
        <f>"19899931"</f>
        <v>19899931</v>
      </c>
      <c r="E738" s="1">
        <v>42815</v>
      </c>
      <c r="F738">
        <v>0</v>
      </c>
      <c r="G738" s="1">
        <v>42832</v>
      </c>
      <c r="H738" s="1">
        <v>42845</v>
      </c>
      <c r="I738" t="s">
        <v>15</v>
      </c>
      <c r="J738" s="2">
        <v>2540.2399999999998</v>
      </c>
      <c r="K738">
        <v>0</v>
      </c>
      <c r="L738" s="2">
        <v>2540.2399999999998</v>
      </c>
      <c r="M738">
        <v>-13</v>
      </c>
      <c r="N738" t="s">
        <v>145</v>
      </c>
    </row>
    <row r="739" spans="1:14" x14ac:dyDescent="0.25">
      <c r="A739" t="s">
        <v>407</v>
      </c>
      <c r="B739">
        <v>598</v>
      </c>
      <c r="C739" s="1">
        <v>42830</v>
      </c>
      <c r="D739" t="str">
        <f>"19899931"</f>
        <v>19899931</v>
      </c>
      <c r="E739" s="1">
        <v>42815</v>
      </c>
      <c r="F739">
        <v>0</v>
      </c>
      <c r="G739" s="1">
        <v>42832</v>
      </c>
      <c r="H739" s="1">
        <v>42845</v>
      </c>
      <c r="I739" t="s">
        <v>15</v>
      </c>
      <c r="J739" s="2">
        <v>1200</v>
      </c>
      <c r="K739">
        <v>0</v>
      </c>
      <c r="L739" s="2">
        <v>1200</v>
      </c>
      <c r="M739">
        <v>-13</v>
      </c>
      <c r="N739" t="s">
        <v>145</v>
      </c>
    </row>
    <row r="740" spans="1:14" x14ac:dyDescent="0.25">
      <c r="A740" t="s">
        <v>135</v>
      </c>
      <c r="B740">
        <v>864</v>
      </c>
      <c r="C740" s="1">
        <v>42871</v>
      </c>
      <c r="D740" t="str">
        <f>"38"</f>
        <v>38</v>
      </c>
      <c r="E740" s="1">
        <v>42849</v>
      </c>
      <c r="F740">
        <v>0</v>
      </c>
      <c r="G740" s="1">
        <v>42873</v>
      </c>
      <c r="H740" s="1">
        <v>42886</v>
      </c>
      <c r="I740" t="s">
        <v>15</v>
      </c>
      <c r="J740">
        <v>935.33</v>
      </c>
      <c r="K740">
        <v>168.67</v>
      </c>
      <c r="L740">
        <v>766.66</v>
      </c>
      <c r="M740">
        <v>-13</v>
      </c>
      <c r="N740" t="s">
        <v>136</v>
      </c>
    </row>
    <row r="741" spans="1:14" x14ac:dyDescent="0.25">
      <c r="A741" t="s">
        <v>137</v>
      </c>
      <c r="B741">
        <v>933</v>
      </c>
      <c r="C741" s="1">
        <v>42872</v>
      </c>
      <c r="D741" t="s">
        <v>408</v>
      </c>
      <c r="E741" s="1">
        <v>42855</v>
      </c>
      <c r="F741">
        <v>0</v>
      </c>
      <c r="G741" s="1">
        <v>42873</v>
      </c>
      <c r="H741" s="1">
        <v>42886</v>
      </c>
      <c r="I741" t="s">
        <v>15</v>
      </c>
      <c r="J741" s="2">
        <v>2047.5</v>
      </c>
      <c r="K741">
        <v>97.5</v>
      </c>
      <c r="L741" s="2">
        <v>1950</v>
      </c>
      <c r="M741">
        <v>-13</v>
      </c>
      <c r="N741" t="s">
        <v>139</v>
      </c>
    </row>
    <row r="742" spans="1:14" x14ac:dyDescent="0.25">
      <c r="A742" t="s">
        <v>409</v>
      </c>
      <c r="B742">
        <v>861</v>
      </c>
      <c r="C742" s="1">
        <v>42871</v>
      </c>
      <c r="D742" t="s">
        <v>410</v>
      </c>
      <c r="E742" s="1">
        <v>42853</v>
      </c>
      <c r="F742">
        <v>0</v>
      </c>
      <c r="G742" s="1">
        <v>42873</v>
      </c>
      <c r="H742" s="1">
        <v>42886</v>
      </c>
      <c r="I742" t="s">
        <v>15</v>
      </c>
      <c r="J742">
        <v>450.18</v>
      </c>
      <c r="K742">
        <v>81.180000000000007</v>
      </c>
      <c r="L742">
        <v>369</v>
      </c>
      <c r="M742">
        <v>-13</v>
      </c>
      <c r="N742" t="s">
        <v>72</v>
      </c>
    </row>
    <row r="743" spans="1:14" x14ac:dyDescent="0.25">
      <c r="A743" t="s">
        <v>61</v>
      </c>
      <c r="B743">
        <v>1401</v>
      </c>
      <c r="C743" s="1">
        <v>42942</v>
      </c>
      <c r="D743" t="str">
        <f>"314"</f>
        <v>314</v>
      </c>
      <c r="E743" s="1">
        <v>42887</v>
      </c>
      <c r="F743">
        <v>0</v>
      </c>
      <c r="G743" s="1">
        <v>42943</v>
      </c>
      <c r="H743" s="1">
        <v>42957</v>
      </c>
      <c r="I743" t="s">
        <v>15</v>
      </c>
      <c r="J743">
        <v>259.08</v>
      </c>
      <c r="K743">
        <v>0</v>
      </c>
      <c r="L743">
        <v>259.08</v>
      </c>
      <c r="M743">
        <v>-14</v>
      </c>
      <c r="N743" t="s">
        <v>62</v>
      </c>
    </row>
    <row r="744" spans="1:14" x14ac:dyDescent="0.25">
      <c r="A744" t="s">
        <v>61</v>
      </c>
      <c r="B744">
        <v>1400</v>
      </c>
      <c r="C744" s="1">
        <v>42942</v>
      </c>
      <c r="D744" t="str">
        <f>"309"</f>
        <v>309</v>
      </c>
      <c r="E744" s="1">
        <v>42887</v>
      </c>
      <c r="F744">
        <v>0</v>
      </c>
      <c r="G744" s="1">
        <v>42943</v>
      </c>
      <c r="H744" s="1">
        <v>42957</v>
      </c>
      <c r="I744" t="s">
        <v>15</v>
      </c>
      <c r="J744">
        <v>136.9</v>
      </c>
      <c r="K744">
        <v>0</v>
      </c>
      <c r="L744">
        <v>136.9</v>
      </c>
      <c r="M744">
        <v>-14</v>
      </c>
      <c r="N744" t="s">
        <v>62</v>
      </c>
    </row>
    <row r="745" spans="1:14" x14ac:dyDescent="0.25">
      <c r="A745" t="s">
        <v>40</v>
      </c>
      <c r="B745">
        <v>1781</v>
      </c>
      <c r="C745" s="1">
        <v>43007</v>
      </c>
      <c r="D745" t="str">
        <f>"600004556257"</f>
        <v>600004556257</v>
      </c>
      <c r="E745" s="1">
        <v>42996</v>
      </c>
      <c r="F745">
        <v>0</v>
      </c>
      <c r="G745" s="1">
        <v>43010</v>
      </c>
      <c r="H745" s="1">
        <v>43024</v>
      </c>
      <c r="I745" t="s">
        <v>15</v>
      </c>
      <c r="J745">
        <v>0.35</v>
      </c>
      <c r="K745">
        <v>0.35</v>
      </c>
      <c r="L745">
        <v>0</v>
      </c>
      <c r="M745">
        <v>-14</v>
      </c>
      <c r="N745" t="s">
        <v>41</v>
      </c>
    </row>
    <row r="746" spans="1:14" x14ac:dyDescent="0.25">
      <c r="A746" t="s">
        <v>40</v>
      </c>
      <c r="B746">
        <v>631</v>
      </c>
      <c r="C746" s="1">
        <v>42830</v>
      </c>
      <c r="D746" t="str">
        <f>"600004355572"</f>
        <v>600004355572</v>
      </c>
      <c r="E746" s="1">
        <v>42818</v>
      </c>
      <c r="F746">
        <v>0</v>
      </c>
      <c r="G746" s="1">
        <v>42832</v>
      </c>
      <c r="H746" s="1">
        <v>42846</v>
      </c>
      <c r="I746" t="s">
        <v>15</v>
      </c>
      <c r="J746">
        <v>15.42</v>
      </c>
      <c r="K746">
        <v>1.4</v>
      </c>
      <c r="L746">
        <v>14.02</v>
      </c>
      <c r="M746">
        <v>-14</v>
      </c>
      <c r="N746" t="s">
        <v>41</v>
      </c>
    </row>
    <row r="747" spans="1:14" x14ac:dyDescent="0.25">
      <c r="A747" t="s">
        <v>40</v>
      </c>
      <c r="B747">
        <v>1785</v>
      </c>
      <c r="C747" s="1">
        <v>43007</v>
      </c>
      <c r="D747" t="str">
        <f>"600004556238"</f>
        <v>600004556238</v>
      </c>
      <c r="E747" s="1">
        <v>42996</v>
      </c>
      <c r="F747">
        <v>0</v>
      </c>
      <c r="G747" s="1">
        <v>43010</v>
      </c>
      <c r="H747" s="1">
        <v>43024</v>
      </c>
      <c r="I747" t="s">
        <v>15</v>
      </c>
      <c r="J747">
        <v>24.9</v>
      </c>
      <c r="K747">
        <v>2.11</v>
      </c>
      <c r="L747">
        <v>22.79</v>
      </c>
      <c r="M747">
        <v>-14</v>
      </c>
      <c r="N747" t="s">
        <v>41</v>
      </c>
    </row>
    <row r="748" spans="1:14" x14ac:dyDescent="0.25">
      <c r="A748" t="s">
        <v>40</v>
      </c>
      <c r="B748">
        <v>411</v>
      </c>
      <c r="C748" s="1">
        <v>42802</v>
      </c>
      <c r="D748" t="str">
        <f>"600004268995"</f>
        <v>600004268995</v>
      </c>
      <c r="E748" s="1">
        <v>42790</v>
      </c>
      <c r="F748">
        <v>0</v>
      </c>
      <c r="G748" s="1">
        <v>42804</v>
      </c>
      <c r="H748" s="1">
        <v>42818</v>
      </c>
      <c r="I748" t="s">
        <v>15</v>
      </c>
      <c r="J748">
        <v>15.64</v>
      </c>
      <c r="K748">
        <v>1.42</v>
      </c>
      <c r="L748">
        <v>14.22</v>
      </c>
      <c r="M748">
        <v>-14</v>
      </c>
      <c r="N748" t="s">
        <v>41</v>
      </c>
    </row>
    <row r="749" spans="1:14" x14ac:dyDescent="0.25">
      <c r="A749" t="s">
        <v>40</v>
      </c>
      <c r="B749">
        <v>1786</v>
      </c>
      <c r="C749" s="1">
        <v>43007</v>
      </c>
      <c r="D749" t="str">
        <f>"600004556240"</f>
        <v>600004556240</v>
      </c>
      <c r="E749" s="1">
        <v>42996</v>
      </c>
      <c r="F749">
        <v>0</v>
      </c>
      <c r="G749" s="1">
        <v>43010</v>
      </c>
      <c r="H749" s="1">
        <v>43024</v>
      </c>
      <c r="I749" t="s">
        <v>15</v>
      </c>
      <c r="J749">
        <v>0.46</v>
      </c>
      <c r="K749">
        <v>0.46</v>
      </c>
      <c r="L749">
        <v>0</v>
      </c>
      <c r="M749">
        <v>-14</v>
      </c>
      <c r="N749" t="s">
        <v>41</v>
      </c>
    </row>
    <row r="750" spans="1:14" x14ac:dyDescent="0.25">
      <c r="A750" t="s">
        <v>40</v>
      </c>
      <c r="B750">
        <v>611</v>
      </c>
      <c r="C750" s="1">
        <v>42830</v>
      </c>
      <c r="D750" t="str">
        <f>"600004355563"</f>
        <v>600004355563</v>
      </c>
      <c r="E750" s="1">
        <v>42818</v>
      </c>
      <c r="F750">
        <v>0</v>
      </c>
      <c r="G750" s="1">
        <v>42832</v>
      </c>
      <c r="H750" s="1">
        <v>42846</v>
      </c>
      <c r="I750" t="s">
        <v>15</v>
      </c>
      <c r="J750">
        <v>71.91</v>
      </c>
      <c r="K750">
        <v>6.54</v>
      </c>
      <c r="L750">
        <v>65.37</v>
      </c>
      <c r="M750">
        <v>-14</v>
      </c>
      <c r="N750" t="s">
        <v>41</v>
      </c>
    </row>
    <row r="751" spans="1:14" x14ac:dyDescent="0.25">
      <c r="A751" t="s">
        <v>40</v>
      </c>
      <c r="B751">
        <v>1787</v>
      </c>
      <c r="C751" s="1">
        <v>43007</v>
      </c>
      <c r="D751" t="str">
        <f>"600004556252"</f>
        <v>600004556252</v>
      </c>
      <c r="E751" s="1">
        <v>42996</v>
      </c>
      <c r="F751">
        <v>0</v>
      </c>
      <c r="G751" s="1">
        <v>43010</v>
      </c>
      <c r="H751" s="1">
        <v>43024</v>
      </c>
      <c r="I751" t="s">
        <v>15</v>
      </c>
      <c r="J751">
        <v>46.15</v>
      </c>
      <c r="K751">
        <v>4.05</v>
      </c>
      <c r="L751">
        <v>42.1</v>
      </c>
      <c r="M751">
        <v>-14</v>
      </c>
      <c r="N751" t="s">
        <v>41</v>
      </c>
    </row>
    <row r="752" spans="1:14" x14ac:dyDescent="0.25">
      <c r="A752" t="s">
        <v>40</v>
      </c>
      <c r="B752">
        <v>1766</v>
      </c>
      <c r="C752" s="1">
        <v>43007</v>
      </c>
      <c r="D752" t="str">
        <f>"600004556241"</f>
        <v>600004556241</v>
      </c>
      <c r="E752" s="1">
        <v>42996</v>
      </c>
      <c r="F752">
        <v>0</v>
      </c>
      <c r="G752" s="1">
        <v>43010</v>
      </c>
      <c r="H752" s="1">
        <v>43024</v>
      </c>
      <c r="I752" t="s">
        <v>15</v>
      </c>
      <c r="J752">
        <v>10.65</v>
      </c>
      <c r="K752">
        <v>0.35</v>
      </c>
      <c r="L752">
        <v>10.3</v>
      </c>
      <c r="M752">
        <v>-14</v>
      </c>
      <c r="N752" t="s">
        <v>41</v>
      </c>
    </row>
    <row r="753" spans="1:14" x14ac:dyDescent="0.25">
      <c r="A753" t="s">
        <v>40</v>
      </c>
      <c r="B753">
        <v>1788</v>
      </c>
      <c r="C753" s="1">
        <v>43007</v>
      </c>
      <c r="D753" t="str">
        <f>"600004556239"</f>
        <v>600004556239</v>
      </c>
      <c r="E753" s="1">
        <v>42996</v>
      </c>
      <c r="F753">
        <v>0</v>
      </c>
      <c r="G753" s="1">
        <v>43010</v>
      </c>
      <c r="H753" s="1">
        <v>43024</v>
      </c>
      <c r="I753" t="s">
        <v>15</v>
      </c>
      <c r="J753">
        <v>57.6</v>
      </c>
      <c r="K753">
        <v>5.09</v>
      </c>
      <c r="L753">
        <v>52.51</v>
      </c>
      <c r="M753">
        <v>-14</v>
      </c>
      <c r="N753" t="s">
        <v>41</v>
      </c>
    </row>
    <row r="754" spans="1:14" x14ac:dyDescent="0.25">
      <c r="A754" t="s">
        <v>40</v>
      </c>
      <c r="B754">
        <v>1764</v>
      </c>
      <c r="C754" s="1">
        <v>43007</v>
      </c>
      <c r="D754" t="str">
        <f>"600004556251"</f>
        <v>600004556251</v>
      </c>
      <c r="E754" s="1">
        <v>42996</v>
      </c>
      <c r="F754">
        <v>0</v>
      </c>
      <c r="G754" s="1">
        <v>43010</v>
      </c>
      <c r="H754" s="1">
        <v>43024</v>
      </c>
      <c r="I754" t="s">
        <v>15</v>
      </c>
      <c r="J754">
        <v>16.95</v>
      </c>
      <c r="K754">
        <v>1.54</v>
      </c>
      <c r="L754">
        <v>15.41</v>
      </c>
      <c r="M754">
        <v>-14</v>
      </c>
      <c r="N754" t="s">
        <v>41</v>
      </c>
    </row>
    <row r="755" spans="1:14" x14ac:dyDescent="0.25">
      <c r="A755" t="s">
        <v>40</v>
      </c>
      <c r="B755">
        <v>1789</v>
      </c>
      <c r="C755" s="1">
        <v>43007</v>
      </c>
      <c r="D755" t="str">
        <f>"600004556246"</f>
        <v>600004556246</v>
      </c>
      <c r="E755" s="1">
        <v>42996</v>
      </c>
      <c r="F755">
        <v>0</v>
      </c>
      <c r="G755" s="1">
        <v>43010</v>
      </c>
      <c r="H755" s="1">
        <v>43024</v>
      </c>
      <c r="I755" t="s">
        <v>15</v>
      </c>
      <c r="J755">
        <v>22.25</v>
      </c>
      <c r="K755">
        <v>1.37</v>
      </c>
      <c r="L755">
        <v>20.88</v>
      </c>
      <c r="M755">
        <v>-14</v>
      </c>
      <c r="N755" t="s">
        <v>41</v>
      </c>
    </row>
    <row r="756" spans="1:14" x14ac:dyDescent="0.25">
      <c r="A756" t="s">
        <v>40</v>
      </c>
      <c r="B756">
        <v>610</v>
      </c>
      <c r="C756" s="1">
        <v>42830</v>
      </c>
      <c r="D756" t="str">
        <f>"600004355547"</f>
        <v>600004355547</v>
      </c>
      <c r="E756" s="1">
        <v>42818</v>
      </c>
      <c r="F756">
        <v>0</v>
      </c>
      <c r="G756" s="1">
        <v>42832</v>
      </c>
      <c r="H756" s="1">
        <v>42846</v>
      </c>
      <c r="I756" t="s">
        <v>15</v>
      </c>
      <c r="J756">
        <v>96.3</v>
      </c>
      <c r="K756">
        <v>7.68</v>
      </c>
      <c r="L756">
        <v>88.62</v>
      </c>
      <c r="M756">
        <v>-14</v>
      </c>
      <c r="N756" t="s">
        <v>41</v>
      </c>
    </row>
    <row r="757" spans="1:14" x14ac:dyDescent="0.25">
      <c r="A757" t="s">
        <v>40</v>
      </c>
      <c r="B757">
        <v>616</v>
      </c>
      <c r="C757" s="1">
        <v>42830</v>
      </c>
      <c r="D757" t="str">
        <f>"600004355558"</f>
        <v>600004355558</v>
      </c>
      <c r="E757" s="1">
        <v>42818</v>
      </c>
      <c r="F757">
        <v>0</v>
      </c>
      <c r="G757" s="1">
        <v>42832</v>
      </c>
      <c r="H757" s="1">
        <v>42846</v>
      </c>
      <c r="I757" t="s">
        <v>15</v>
      </c>
      <c r="J757">
        <v>293.39</v>
      </c>
      <c r="K757">
        <v>26.2</v>
      </c>
      <c r="L757">
        <v>267.19</v>
      </c>
      <c r="M757">
        <v>-14</v>
      </c>
      <c r="N757" t="s">
        <v>41</v>
      </c>
    </row>
    <row r="758" spans="1:14" x14ac:dyDescent="0.25">
      <c r="A758" t="s">
        <v>40</v>
      </c>
      <c r="B758">
        <v>612</v>
      </c>
      <c r="C758" s="1">
        <v>42830</v>
      </c>
      <c r="D758" t="str">
        <f>"600004355552"</f>
        <v>600004355552</v>
      </c>
      <c r="E758" s="1">
        <v>42818</v>
      </c>
      <c r="F758">
        <v>0</v>
      </c>
      <c r="G758" s="1">
        <v>42832</v>
      </c>
      <c r="H758" s="1">
        <v>42846</v>
      </c>
      <c r="I758" t="s">
        <v>15</v>
      </c>
      <c r="J758">
        <v>145.72</v>
      </c>
      <c r="K758">
        <v>12.64</v>
      </c>
      <c r="L758">
        <v>133.08000000000001</v>
      </c>
      <c r="M758">
        <v>-14</v>
      </c>
      <c r="N758" t="s">
        <v>41</v>
      </c>
    </row>
    <row r="759" spans="1:14" x14ac:dyDescent="0.25">
      <c r="A759" t="s">
        <v>40</v>
      </c>
      <c r="B759">
        <v>617</v>
      </c>
      <c r="C759" s="1">
        <v>42830</v>
      </c>
      <c r="D759" t="str">
        <f>"600004355557"</f>
        <v>600004355557</v>
      </c>
      <c r="E759" s="1">
        <v>42818</v>
      </c>
      <c r="F759">
        <v>0</v>
      </c>
      <c r="G759" s="1">
        <v>42832</v>
      </c>
      <c r="H759" s="1">
        <v>42846</v>
      </c>
      <c r="I759" t="s">
        <v>15</v>
      </c>
      <c r="J759">
        <v>295.24</v>
      </c>
      <c r="K759">
        <v>26.4</v>
      </c>
      <c r="L759">
        <v>268.83999999999997</v>
      </c>
      <c r="M759">
        <v>-14</v>
      </c>
      <c r="N759" t="s">
        <v>41</v>
      </c>
    </row>
    <row r="760" spans="1:14" x14ac:dyDescent="0.25">
      <c r="A760" t="s">
        <v>40</v>
      </c>
      <c r="B760">
        <v>1769</v>
      </c>
      <c r="C760" s="1">
        <v>43007</v>
      </c>
      <c r="D760" t="str">
        <f>"600004556245"</f>
        <v>600004556245</v>
      </c>
      <c r="E760" s="1">
        <v>42996</v>
      </c>
      <c r="F760">
        <v>0</v>
      </c>
      <c r="G760" s="1">
        <v>43010</v>
      </c>
      <c r="H760" s="1">
        <v>43024</v>
      </c>
      <c r="I760" t="s">
        <v>15</v>
      </c>
      <c r="J760">
        <v>83.72</v>
      </c>
      <c r="K760">
        <v>7.46</v>
      </c>
      <c r="L760">
        <v>76.260000000000005</v>
      </c>
      <c r="M760">
        <v>-14</v>
      </c>
      <c r="N760" t="s">
        <v>41</v>
      </c>
    </row>
    <row r="761" spans="1:14" x14ac:dyDescent="0.25">
      <c r="A761" t="s">
        <v>40</v>
      </c>
      <c r="B761">
        <v>618</v>
      </c>
      <c r="C761" s="1">
        <v>42830</v>
      </c>
      <c r="D761" t="str">
        <f>"600004355556"</f>
        <v>600004355556</v>
      </c>
      <c r="E761" s="1">
        <v>42818</v>
      </c>
      <c r="F761">
        <v>0</v>
      </c>
      <c r="G761" s="1">
        <v>42832</v>
      </c>
      <c r="H761" s="1">
        <v>42846</v>
      </c>
      <c r="I761" t="s">
        <v>15</v>
      </c>
      <c r="J761">
        <v>71.91</v>
      </c>
      <c r="K761">
        <v>6.54</v>
      </c>
      <c r="L761">
        <v>65.37</v>
      </c>
      <c r="M761">
        <v>-14</v>
      </c>
      <c r="N761" t="s">
        <v>41</v>
      </c>
    </row>
    <row r="762" spans="1:14" x14ac:dyDescent="0.25">
      <c r="A762" t="s">
        <v>40</v>
      </c>
      <c r="B762">
        <v>1771</v>
      </c>
      <c r="C762" s="1">
        <v>43007</v>
      </c>
      <c r="D762" t="str">
        <f>"600004556235"</f>
        <v>600004556235</v>
      </c>
      <c r="E762" s="1">
        <v>42996</v>
      </c>
      <c r="F762">
        <v>0</v>
      </c>
      <c r="G762" s="1">
        <v>43010</v>
      </c>
      <c r="H762" s="1">
        <v>43024</v>
      </c>
      <c r="I762" t="s">
        <v>15</v>
      </c>
      <c r="J762">
        <v>55.94</v>
      </c>
      <c r="K762">
        <v>4.9400000000000004</v>
      </c>
      <c r="L762">
        <v>51</v>
      </c>
      <c r="M762">
        <v>-14</v>
      </c>
      <c r="N762" t="s">
        <v>41</v>
      </c>
    </row>
    <row r="763" spans="1:14" x14ac:dyDescent="0.25">
      <c r="A763" t="s">
        <v>40</v>
      </c>
      <c r="B763">
        <v>619</v>
      </c>
      <c r="C763" s="1">
        <v>42830</v>
      </c>
      <c r="D763" t="str">
        <f>"600004355548"</f>
        <v>600004355548</v>
      </c>
      <c r="E763" s="1">
        <v>42818</v>
      </c>
      <c r="F763">
        <v>0</v>
      </c>
      <c r="G763" s="1">
        <v>42832</v>
      </c>
      <c r="H763" s="1">
        <v>42846</v>
      </c>
      <c r="I763" t="s">
        <v>15</v>
      </c>
      <c r="J763">
        <v>219.78</v>
      </c>
      <c r="K763">
        <v>19.55</v>
      </c>
      <c r="L763">
        <v>200.23</v>
      </c>
      <c r="M763">
        <v>-14</v>
      </c>
      <c r="N763" t="s">
        <v>41</v>
      </c>
    </row>
    <row r="764" spans="1:14" x14ac:dyDescent="0.25">
      <c r="A764" t="s">
        <v>40</v>
      </c>
      <c r="B764">
        <v>1772</v>
      </c>
      <c r="C764" s="1">
        <v>43007</v>
      </c>
      <c r="D764" t="str">
        <f>"600004556236"</f>
        <v>600004556236</v>
      </c>
      <c r="E764" s="1">
        <v>42996</v>
      </c>
      <c r="F764">
        <v>0</v>
      </c>
      <c r="G764" s="1">
        <v>43010</v>
      </c>
      <c r="H764" s="1">
        <v>43024</v>
      </c>
      <c r="I764" t="s">
        <v>15</v>
      </c>
      <c r="J764">
        <v>55.94</v>
      </c>
      <c r="K764">
        <v>4.9400000000000004</v>
      </c>
      <c r="L764">
        <v>51</v>
      </c>
      <c r="M764">
        <v>-14</v>
      </c>
      <c r="N764" t="s">
        <v>41</v>
      </c>
    </row>
    <row r="765" spans="1:14" x14ac:dyDescent="0.25">
      <c r="A765" t="s">
        <v>40</v>
      </c>
      <c r="B765">
        <v>620</v>
      </c>
      <c r="C765" s="1">
        <v>42830</v>
      </c>
      <c r="D765" t="str">
        <f>"600004355550"</f>
        <v>600004355550</v>
      </c>
      <c r="E765" s="1">
        <v>42818</v>
      </c>
      <c r="F765">
        <v>0</v>
      </c>
      <c r="G765" s="1">
        <v>42832</v>
      </c>
      <c r="H765" s="1">
        <v>42846</v>
      </c>
      <c r="I765" t="s">
        <v>15</v>
      </c>
      <c r="J765">
        <v>237.54</v>
      </c>
      <c r="K765">
        <v>21.19</v>
      </c>
      <c r="L765">
        <v>216.35</v>
      </c>
      <c r="M765">
        <v>-14</v>
      </c>
      <c r="N765" t="s">
        <v>41</v>
      </c>
    </row>
    <row r="766" spans="1:14" x14ac:dyDescent="0.25">
      <c r="A766" t="s">
        <v>40</v>
      </c>
      <c r="B766">
        <v>1774</v>
      </c>
      <c r="C766" s="1">
        <v>43007</v>
      </c>
      <c r="D766" t="str">
        <f>"600004556237"</f>
        <v>600004556237</v>
      </c>
      <c r="E766" s="1">
        <v>42996</v>
      </c>
      <c r="F766">
        <v>0</v>
      </c>
      <c r="G766" s="1">
        <v>43010</v>
      </c>
      <c r="H766" s="1">
        <v>43024</v>
      </c>
      <c r="I766" t="s">
        <v>15</v>
      </c>
      <c r="J766">
        <v>59.21</v>
      </c>
      <c r="K766">
        <v>5.23</v>
      </c>
      <c r="L766">
        <v>53.98</v>
      </c>
      <c r="M766">
        <v>-14</v>
      </c>
      <c r="N766" t="s">
        <v>41</v>
      </c>
    </row>
    <row r="767" spans="1:14" x14ac:dyDescent="0.25">
      <c r="A767" t="s">
        <v>40</v>
      </c>
      <c r="B767">
        <v>403</v>
      </c>
      <c r="C767" s="1">
        <v>42801</v>
      </c>
      <c r="D767" t="str">
        <f>"600004268994"</f>
        <v>600004268994</v>
      </c>
      <c r="E767" s="1">
        <v>42790</v>
      </c>
      <c r="F767">
        <v>0</v>
      </c>
      <c r="G767" s="1">
        <v>42804</v>
      </c>
      <c r="H767" s="1">
        <v>42818</v>
      </c>
      <c r="I767" t="s">
        <v>15</v>
      </c>
      <c r="J767">
        <v>0.16</v>
      </c>
      <c r="K767">
        <v>0.16</v>
      </c>
      <c r="L767">
        <v>0</v>
      </c>
      <c r="M767">
        <v>-14</v>
      </c>
      <c r="N767" t="s">
        <v>41</v>
      </c>
    </row>
    <row r="768" spans="1:14" x14ac:dyDescent="0.25">
      <c r="A768" t="s">
        <v>40</v>
      </c>
      <c r="B768">
        <v>1776</v>
      </c>
      <c r="C768" s="1">
        <v>43007</v>
      </c>
      <c r="D768" t="str">
        <f>"600004556253"</f>
        <v>600004556253</v>
      </c>
      <c r="E768" s="1">
        <v>42996</v>
      </c>
      <c r="F768">
        <v>0</v>
      </c>
      <c r="G768" s="1">
        <v>43010</v>
      </c>
      <c r="H768" s="1">
        <v>43024</v>
      </c>
      <c r="I768" t="s">
        <v>15</v>
      </c>
      <c r="J768">
        <v>0.32</v>
      </c>
      <c r="K768">
        <v>0.32</v>
      </c>
      <c r="L768">
        <v>0</v>
      </c>
      <c r="M768">
        <v>-14</v>
      </c>
      <c r="N768" t="s">
        <v>41</v>
      </c>
    </row>
    <row r="769" spans="1:14" x14ac:dyDescent="0.25">
      <c r="A769" t="s">
        <v>40</v>
      </c>
      <c r="B769">
        <v>405</v>
      </c>
      <c r="C769" s="1">
        <v>42802</v>
      </c>
      <c r="D769" t="str">
        <f>"600004268997"</f>
        <v>600004268997</v>
      </c>
      <c r="E769" s="1">
        <v>42790</v>
      </c>
      <c r="F769">
        <v>0</v>
      </c>
      <c r="G769" s="1">
        <v>42804</v>
      </c>
      <c r="H769" s="1">
        <v>42818</v>
      </c>
      <c r="I769" t="s">
        <v>15</v>
      </c>
      <c r="J769">
        <v>0.27</v>
      </c>
      <c r="K769">
        <v>0.27</v>
      </c>
      <c r="L769">
        <v>0</v>
      </c>
      <c r="M769">
        <v>-14</v>
      </c>
      <c r="N769" t="s">
        <v>41</v>
      </c>
    </row>
    <row r="770" spans="1:14" x14ac:dyDescent="0.25">
      <c r="A770" t="s">
        <v>40</v>
      </c>
      <c r="B770">
        <v>621</v>
      </c>
      <c r="C770" s="1">
        <v>42830</v>
      </c>
      <c r="D770" t="str">
        <f>"600004355549"</f>
        <v>600004355549</v>
      </c>
      <c r="E770" s="1">
        <v>42818</v>
      </c>
      <c r="F770">
        <v>0</v>
      </c>
      <c r="G770" s="1">
        <v>42832</v>
      </c>
      <c r="H770" s="1">
        <v>42846</v>
      </c>
      <c r="I770" t="s">
        <v>15</v>
      </c>
      <c r="J770">
        <v>145.72</v>
      </c>
      <c r="K770">
        <v>12.09</v>
      </c>
      <c r="L770">
        <v>133.63</v>
      </c>
      <c r="M770">
        <v>-14</v>
      </c>
      <c r="N770" t="s">
        <v>41</v>
      </c>
    </row>
    <row r="771" spans="1:14" x14ac:dyDescent="0.25">
      <c r="A771" t="s">
        <v>40</v>
      </c>
      <c r="B771">
        <v>412</v>
      </c>
      <c r="C771" s="1">
        <v>42802</v>
      </c>
      <c r="D771" t="str">
        <f>"600004268986"</f>
        <v>600004268986</v>
      </c>
      <c r="E771" s="1">
        <v>42790</v>
      </c>
      <c r="F771">
        <v>0</v>
      </c>
      <c r="G771" s="1">
        <v>42804</v>
      </c>
      <c r="H771" s="1">
        <v>42818</v>
      </c>
      <c r="I771" t="s">
        <v>15</v>
      </c>
      <c r="J771">
        <v>13.56</v>
      </c>
      <c r="K771">
        <v>1.03</v>
      </c>
      <c r="L771">
        <v>12.53</v>
      </c>
      <c r="M771">
        <v>-14</v>
      </c>
      <c r="N771" t="s">
        <v>41</v>
      </c>
    </row>
    <row r="772" spans="1:14" x14ac:dyDescent="0.25">
      <c r="A772" t="s">
        <v>40</v>
      </c>
      <c r="B772">
        <v>421</v>
      </c>
      <c r="C772" s="1">
        <v>42802</v>
      </c>
      <c r="D772" t="str">
        <f>"600004268988"</f>
        <v>600004268988</v>
      </c>
      <c r="E772" s="1">
        <v>42790</v>
      </c>
      <c r="F772">
        <v>0</v>
      </c>
      <c r="G772" s="1">
        <v>42804</v>
      </c>
      <c r="H772" s="1">
        <v>42818</v>
      </c>
      <c r="I772" t="s">
        <v>15</v>
      </c>
      <c r="J772">
        <v>15.65</v>
      </c>
      <c r="K772">
        <v>1.42</v>
      </c>
      <c r="L772">
        <v>14.23</v>
      </c>
      <c r="M772">
        <v>-14</v>
      </c>
      <c r="N772" t="s">
        <v>41</v>
      </c>
    </row>
    <row r="773" spans="1:14" x14ac:dyDescent="0.25">
      <c r="A773" t="s">
        <v>40</v>
      </c>
      <c r="B773">
        <v>1779</v>
      </c>
      <c r="C773" s="1">
        <v>43007</v>
      </c>
      <c r="D773" t="str">
        <f>"600004556251"</f>
        <v>600004556251</v>
      </c>
      <c r="E773" s="1">
        <v>42996</v>
      </c>
      <c r="F773">
        <v>0</v>
      </c>
      <c r="G773" s="1">
        <v>43010</v>
      </c>
      <c r="H773" s="1">
        <v>43024</v>
      </c>
      <c r="I773" t="s">
        <v>15</v>
      </c>
      <c r="J773">
        <v>6.26</v>
      </c>
      <c r="K773">
        <v>0.56999999999999995</v>
      </c>
      <c r="L773">
        <v>5.69</v>
      </c>
      <c r="M773">
        <v>-14</v>
      </c>
      <c r="N773" t="s">
        <v>41</v>
      </c>
    </row>
    <row r="774" spans="1:14" x14ac:dyDescent="0.25">
      <c r="A774" t="s">
        <v>40</v>
      </c>
      <c r="B774">
        <v>420</v>
      </c>
      <c r="C774" s="1">
        <v>42802</v>
      </c>
      <c r="D774" t="str">
        <f>"600004268999"</f>
        <v>600004268999</v>
      </c>
      <c r="E774" s="1">
        <v>42790</v>
      </c>
      <c r="F774">
        <v>0</v>
      </c>
      <c r="G774" s="1">
        <v>42804</v>
      </c>
      <c r="H774" s="1">
        <v>42818</v>
      </c>
      <c r="I774" t="s">
        <v>15</v>
      </c>
      <c r="J774">
        <v>0.18</v>
      </c>
      <c r="K774">
        <v>0.18</v>
      </c>
      <c r="L774">
        <v>0</v>
      </c>
      <c r="M774">
        <v>-14</v>
      </c>
      <c r="N774" t="s">
        <v>41</v>
      </c>
    </row>
    <row r="775" spans="1:14" x14ac:dyDescent="0.25">
      <c r="A775" t="s">
        <v>40</v>
      </c>
      <c r="B775">
        <v>1782</v>
      </c>
      <c r="C775" s="1">
        <v>43007</v>
      </c>
      <c r="D775" t="str">
        <f>"600004556254"</f>
        <v>600004556254</v>
      </c>
      <c r="E775" s="1">
        <v>42996</v>
      </c>
      <c r="F775">
        <v>0</v>
      </c>
      <c r="G775" s="1">
        <v>43010</v>
      </c>
      <c r="H775" s="1">
        <v>43024</v>
      </c>
      <c r="I775" t="s">
        <v>15</v>
      </c>
      <c r="J775">
        <v>0.35</v>
      </c>
      <c r="K775">
        <v>0.35</v>
      </c>
      <c r="L775">
        <v>0</v>
      </c>
      <c r="M775">
        <v>-14</v>
      </c>
      <c r="N775" t="s">
        <v>41</v>
      </c>
    </row>
    <row r="776" spans="1:14" x14ac:dyDescent="0.25">
      <c r="A776" t="s">
        <v>40</v>
      </c>
      <c r="B776">
        <v>413</v>
      </c>
      <c r="C776" s="1">
        <v>42802</v>
      </c>
      <c r="D776" t="str">
        <f>"600004268991"</f>
        <v>600004268991</v>
      </c>
      <c r="E776" s="1">
        <v>42790</v>
      </c>
      <c r="F776">
        <v>0</v>
      </c>
      <c r="G776" s="1">
        <v>42804</v>
      </c>
      <c r="H776" s="1">
        <v>42818</v>
      </c>
      <c r="I776" t="s">
        <v>15</v>
      </c>
      <c r="J776">
        <v>0.45</v>
      </c>
      <c r="K776">
        <v>0.45</v>
      </c>
      <c r="L776">
        <v>0</v>
      </c>
      <c r="M776">
        <v>-14</v>
      </c>
      <c r="N776" t="s">
        <v>41</v>
      </c>
    </row>
    <row r="777" spans="1:14" x14ac:dyDescent="0.25">
      <c r="A777" t="s">
        <v>40</v>
      </c>
      <c r="B777">
        <v>1784</v>
      </c>
      <c r="C777" s="1">
        <v>43007</v>
      </c>
      <c r="D777" t="str">
        <f>"600004556260"</f>
        <v>600004556260</v>
      </c>
      <c r="E777" s="1">
        <v>42996</v>
      </c>
      <c r="F777">
        <v>0</v>
      </c>
      <c r="G777" s="1">
        <v>43010</v>
      </c>
      <c r="H777" s="1">
        <v>43024</v>
      </c>
      <c r="I777" t="s">
        <v>15</v>
      </c>
      <c r="J777">
        <v>12.43</v>
      </c>
      <c r="K777">
        <v>0.4</v>
      </c>
      <c r="L777">
        <v>12.03</v>
      </c>
      <c r="M777">
        <v>-14</v>
      </c>
      <c r="N777" t="s">
        <v>41</v>
      </c>
    </row>
    <row r="778" spans="1:14" x14ac:dyDescent="0.25">
      <c r="A778" t="s">
        <v>40</v>
      </c>
      <c r="B778">
        <v>414</v>
      </c>
      <c r="C778" s="1">
        <v>42802</v>
      </c>
      <c r="D778" t="str">
        <f>"600004269002"</f>
        <v>600004269002</v>
      </c>
      <c r="E778" s="1">
        <v>42790</v>
      </c>
      <c r="F778">
        <v>0</v>
      </c>
      <c r="G778" s="1">
        <v>42804</v>
      </c>
      <c r="H778" s="1">
        <v>42818</v>
      </c>
      <c r="I778" t="s">
        <v>15</v>
      </c>
      <c r="J778">
        <v>13.3</v>
      </c>
      <c r="K778">
        <v>1.21</v>
      </c>
      <c r="L778">
        <v>12.09</v>
      </c>
      <c r="M778">
        <v>-14</v>
      </c>
      <c r="N778" t="s">
        <v>41</v>
      </c>
    </row>
    <row r="779" spans="1:14" x14ac:dyDescent="0.25">
      <c r="A779" t="s">
        <v>40</v>
      </c>
      <c r="B779">
        <v>410</v>
      </c>
      <c r="C779" s="1">
        <v>42802</v>
      </c>
      <c r="D779" t="str">
        <f>"600004268985"</f>
        <v>600004268985</v>
      </c>
      <c r="E779" s="1">
        <v>42790</v>
      </c>
      <c r="F779">
        <v>0</v>
      </c>
      <c r="G779" s="1">
        <v>42804</v>
      </c>
      <c r="H779" s="1">
        <v>42818</v>
      </c>
      <c r="I779" t="s">
        <v>15</v>
      </c>
      <c r="J779">
        <v>0.02</v>
      </c>
      <c r="K779">
        <v>0.02</v>
      </c>
      <c r="L779">
        <v>0</v>
      </c>
      <c r="M779">
        <v>-14</v>
      </c>
      <c r="N779" t="s">
        <v>41</v>
      </c>
    </row>
    <row r="780" spans="1:14" x14ac:dyDescent="0.25">
      <c r="A780" t="s">
        <v>40</v>
      </c>
      <c r="B780">
        <v>419</v>
      </c>
      <c r="C780" s="1">
        <v>42802</v>
      </c>
      <c r="D780" t="str">
        <f>"600004268982"</f>
        <v>600004268982</v>
      </c>
      <c r="E780" s="1">
        <v>42790</v>
      </c>
      <c r="F780">
        <v>0</v>
      </c>
      <c r="G780" s="1">
        <v>42804</v>
      </c>
      <c r="H780" s="1">
        <v>42818</v>
      </c>
      <c r="I780" t="s">
        <v>15</v>
      </c>
      <c r="J780">
        <v>0.64</v>
      </c>
      <c r="K780">
        <v>0.64</v>
      </c>
      <c r="L780">
        <v>0</v>
      </c>
      <c r="M780">
        <v>-14</v>
      </c>
      <c r="N780" t="s">
        <v>41</v>
      </c>
    </row>
    <row r="781" spans="1:14" x14ac:dyDescent="0.25">
      <c r="A781" t="s">
        <v>40</v>
      </c>
      <c r="B781">
        <v>409</v>
      </c>
      <c r="C781" s="1">
        <v>42802</v>
      </c>
      <c r="D781" t="str">
        <f>"600004268996"</f>
        <v>600004268996</v>
      </c>
      <c r="E781" s="1">
        <v>42790</v>
      </c>
      <c r="F781">
        <v>0</v>
      </c>
      <c r="G781" s="1">
        <v>42804</v>
      </c>
      <c r="H781" s="1">
        <v>42818</v>
      </c>
      <c r="I781" t="s">
        <v>15</v>
      </c>
      <c r="J781">
        <v>0.53</v>
      </c>
      <c r="K781">
        <v>0.53</v>
      </c>
      <c r="L781">
        <v>0</v>
      </c>
      <c r="M781">
        <v>-14</v>
      </c>
      <c r="N781" t="s">
        <v>41</v>
      </c>
    </row>
    <row r="782" spans="1:14" x14ac:dyDescent="0.25">
      <c r="A782" t="s">
        <v>40</v>
      </c>
      <c r="B782">
        <v>415</v>
      </c>
      <c r="C782" s="1">
        <v>42802</v>
      </c>
      <c r="D782" t="str">
        <f>"600004268984"</f>
        <v>600004268984</v>
      </c>
      <c r="E782" s="1">
        <v>42790</v>
      </c>
      <c r="F782">
        <v>0</v>
      </c>
      <c r="G782" s="1">
        <v>42804</v>
      </c>
      <c r="H782" s="1">
        <v>42818</v>
      </c>
      <c r="I782" t="s">
        <v>15</v>
      </c>
      <c r="J782">
        <v>33.119999999999997</v>
      </c>
      <c r="K782">
        <v>2.86</v>
      </c>
      <c r="L782">
        <v>30.26</v>
      </c>
      <c r="M782">
        <v>-14</v>
      </c>
      <c r="N782" t="s">
        <v>41</v>
      </c>
    </row>
    <row r="783" spans="1:14" x14ac:dyDescent="0.25">
      <c r="A783" t="s">
        <v>40</v>
      </c>
      <c r="B783">
        <v>407</v>
      </c>
      <c r="C783" s="1">
        <v>42802</v>
      </c>
      <c r="D783" t="str">
        <f>"600004268993"</f>
        <v>600004268993</v>
      </c>
      <c r="E783" s="1">
        <v>42790</v>
      </c>
      <c r="F783">
        <v>0</v>
      </c>
      <c r="G783" s="1">
        <v>42804</v>
      </c>
      <c r="H783" s="1">
        <v>42818</v>
      </c>
      <c r="I783" t="s">
        <v>15</v>
      </c>
      <c r="J783">
        <v>15.65</v>
      </c>
      <c r="K783">
        <v>1.42</v>
      </c>
      <c r="L783">
        <v>14.23</v>
      </c>
      <c r="M783">
        <v>-14</v>
      </c>
      <c r="N783" t="s">
        <v>41</v>
      </c>
    </row>
    <row r="784" spans="1:14" x14ac:dyDescent="0.25">
      <c r="A784" t="s">
        <v>40</v>
      </c>
      <c r="B784">
        <v>418</v>
      </c>
      <c r="C784" s="1">
        <v>42802</v>
      </c>
      <c r="D784" t="str">
        <f>"600004269001"</f>
        <v>600004269001</v>
      </c>
      <c r="E784" s="1">
        <v>42790</v>
      </c>
      <c r="F784">
        <v>0</v>
      </c>
      <c r="G784" s="1">
        <v>42804</v>
      </c>
      <c r="H784" s="1">
        <v>42818</v>
      </c>
      <c r="I784" t="s">
        <v>15</v>
      </c>
      <c r="J784">
        <v>0.22</v>
      </c>
      <c r="K784">
        <v>0.22</v>
      </c>
      <c r="L784">
        <v>0</v>
      </c>
      <c r="M784">
        <v>-14</v>
      </c>
      <c r="N784" t="s">
        <v>41</v>
      </c>
    </row>
    <row r="785" spans="1:14" x14ac:dyDescent="0.25">
      <c r="A785" t="s">
        <v>40</v>
      </c>
      <c r="B785">
        <v>615</v>
      </c>
      <c r="C785" s="1">
        <v>42830</v>
      </c>
      <c r="D785" t="str">
        <f>"600004355567"</f>
        <v>600004355567</v>
      </c>
      <c r="E785" s="1">
        <v>42818</v>
      </c>
      <c r="F785">
        <v>0</v>
      </c>
      <c r="G785" s="1">
        <v>42832</v>
      </c>
      <c r="H785" s="1">
        <v>42846</v>
      </c>
      <c r="I785" t="s">
        <v>15</v>
      </c>
      <c r="J785">
        <v>22.51</v>
      </c>
      <c r="K785">
        <v>1.64</v>
      </c>
      <c r="L785">
        <v>20.87</v>
      </c>
      <c r="M785">
        <v>-14</v>
      </c>
      <c r="N785" t="s">
        <v>41</v>
      </c>
    </row>
    <row r="786" spans="1:14" x14ac:dyDescent="0.25">
      <c r="A786" t="s">
        <v>40</v>
      </c>
      <c r="B786">
        <v>417</v>
      </c>
      <c r="C786" s="1">
        <v>42802</v>
      </c>
      <c r="D786" t="str">
        <f>"600004268987"</f>
        <v>600004268987</v>
      </c>
      <c r="E786" s="1">
        <v>42790</v>
      </c>
      <c r="F786">
        <v>0</v>
      </c>
      <c r="G786" s="1">
        <v>42804</v>
      </c>
      <c r="H786" s="1">
        <v>42818</v>
      </c>
      <c r="I786" t="s">
        <v>15</v>
      </c>
      <c r="J786">
        <v>0.27</v>
      </c>
      <c r="K786">
        <v>0.27</v>
      </c>
      <c r="L786">
        <v>0</v>
      </c>
      <c r="M786">
        <v>-14</v>
      </c>
      <c r="N786" t="s">
        <v>41</v>
      </c>
    </row>
    <row r="787" spans="1:14" x14ac:dyDescent="0.25">
      <c r="A787" t="s">
        <v>40</v>
      </c>
      <c r="B787">
        <v>1767</v>
      </c>
      <c r="C787" s="1">
        <v>43007</v>
      </c>
      <c r="D787" t="str">
        <f>"600004556244"</f>
        <v>600004556244</v>
      </c>
      <c r="E787" s="1">
        <v>42996</v>
      </c>
      <c r="F787">
        <v>0</v>
      </c>
      <c r="G787" s="1">
        <v>43010</v>
      </c>
      <c r="H787" s="1">
        <v>43024</v>
      </c>
      <c r="I787" t="s">
        <v>15</v>
      </c>
      <c r="J787">
        <v>139.29</v>
      </c>
      <c r="K787">
        <v>12.51</v>
      </c>
      <c r="L787">
        <v>126.78</v>
      </c>
      <c r="M787">
        <v>-14</v>
      </c>
      <c r="N787" t="s">
        <v>41</v>
      </c>
    </row>
    <row r="788" spans="1:14" x14ac:dyDescent="0.25">
      <c r="A788" t="s">
        <v>40</v>
      </c>
      <c r="B788">
        <v>416</v>
      </c>
      <c r="C788" s="1">
        <v>42802</v>
      </c>
      <c r="D788" t="str">
        <f>"600004269000"</f>
        <v>600004269000</v>
      </c>
      <c r="E788" s="1">
        <v>42790</v>
      </c>
      <c r="F788">
        <v>0</v>
      </c>
      <c r="G788" s="1">
        <v>42804</v>
      </c>
      <c r="H788" s="1">
        <v>42818</v>
      </c>
      <c r="I788" t="s">
        <v>15</v>
      </c>
      <c r="J788">
        <v>0.27</v>
      </c>
      <c r="K788">
        <v>0.27</v>
      </c>
      <c r="L788">
        <v>0</v>
      </c>
      <c r="M788">
        <v>-14</v>
      </c>
      <c r="N788" t="s">
        <v>41</v>
      </c>
    </row>
    <row r="789" spans="1:14" x14ac:dyDescent="0.25">
      <c r="A789" t="s">
        <v>40</v>
      </c>
      <c r="B789">
        <v>1763</v>
      </c>
      <c r="C789" s="1">
        <v>43007</v>
      </c>
      <c r="D789" t="str">
        <f>"600004556247"</f>
        <v>600004556247</v>
      </c>
      <c r="E789" s="1">
        <v>42996</v>
      </c>
      <c r="F789">
        <v>0</v>
      </c>
      <c r="G789" s="1">
        <v>43010</v>
      </c>
      <c r="H789" s="1">
        <v>43024</v>
      </c>
      <c r="I789" t="s">
        <v>15</v>
      </c>
      <c r="J789">
        <v>13.96</v>
      </c>
      <c r="K789">
        <v>1.27</v>
      </c>
      <c r="L789">
        <v>12.69</v>
      </c>
      <c r="M789">
        <v>-14</v>
      </c>
      <c r="N789" t="s">
        <v>41</v>
      </c>
    </row>
    <row r="790" spans="1:14" x14ac:dyDescent="0.25">
      <c r="A790" t="s">
        <v>40</v>
      </c>
      <c r="B790">
        <v>622</v>
      </c>
      <c r="C790" s="1">
        <v>42830</v>
      </c>
      <c r="D790" t="str">
        <f>"600004355573"</f>
        <v>600004355573</v>
      </c>
      <c r="E790" s="1">
        <v>42818</v>
      </c>
      <c r="F790">
        <v>0</v>
      </c>
      <c r="G790" s="1">
        <v>42832</v>
      </c>
      <c r="H790" s="1">
        <v>42846</v>
      </c>
      <c r="I790" t="s">
        <v>15</v>
      </c>
      <c r="J790">
        <v>101.68</v>
      </c>
      <c r="K790">
        <v>9.24</v>
      </c>
      <c r="L790">
        <v>92.44</v>
      </c>
      <c r="M790">
        <v>-14</v>
      </c>
      <c r="N790" t="s">
        <v>41</v>
      </c>
    </row>
    <row r="791" spans="1:14" x14ac:dyDescent="0.25">
      <c r="A791" t="s">
        <v>40</v>
      </c>
      <c r="B791">
        <v>1768</v>
      </c>
      <c r="C791" s="1">
        <v>43007</v>
      </c>
      <c r="D791" t="str">
        <f>"600004556248"</f>
        <v>600004556248</v>
      </c>
      <c r="E791" s="1">
        <v>42996</v>
      </c>
      <c r="F791">
        <v>0</v>
      </c>
      <c r="G791" s="1">
        <v>43010</v>
      </c>
      <c r="H791" s="1">
        <v>43024</v>
      </c>
      <c r="I791" t="s">
        <v>15</v>
      </c>
      <c r="J791">
        <v>23.21</v>
      </c>
      <c r="K791">
        <v>2.11</v>
      </c>
      <c r="L791">
        <v>21.1</v>
      </c>
      <c r="M791">
        <v>-14</v>
      </c>
      <c r="N791" t="s">
        <v>41</v>
      </c>
    </row>
    <row r="792" spans="1:14" x14ac:dyDescent="0.25">
      <c r="A792" t="s">
        <v>40</v>
      </c>
      <c r="B792">
        <v>623</v>
      </c>
      <c r="C792" s="1">
        <v>42830</v>
      </c>
      <c r="D792" t="str">
        <f>"600004355568"</f>
        <v>600004355568</v>
      </c>
      <c r="E792" s="1">
        <v>42818</v>
      </c>
      <c r="F792">
        <v>0</v>
      </c>
      <c r="G792" s="1">
        <v>42832</v>
      </c>
      <c r="H792" s="1">
        <v>42846</v>
      </c>
      <c r="I792" t="s">
        <v>15</v>
      </c>
      <c r="J792">
        <v>25.87</v>
      </c>
      <c r="K792">
        <v>1.6</v>
      </c>
      <c r="L792">
        <v>24.27</v>
      </c>
      <c r="M792">
        <v>-14</v>
      </c>
      <c r="N792" t="s">
        <v>41</v>
      </c>
    </row>
    <row r="793" spans="1:14" x14ac:dyDescent="0.25">
      <c r="A793" t="s">
        <v>40</v>
      </c>
      <c r="B793">
        <v>608</v>
      </c>
      <c r="C793" s="1">
        <v>42830</v>
      </c>
      <c r="D793" t="str">
        <f>"600004355560"</f>
        <v>600004355560</v>
      </c>
      <c r="E793" s="1">
        <v>42818</v>
      </c>
      <c r="F793">
        <v>0</v>
      </c>
      <c r="G793" s="1">
        <v>42832</v>
      </c>
      <c r="H793" s="1">
        <v>42846</v>
      </c>
      <c r="I793" t="s">
        <v>15</v>
      </c>
      <c r="J793">
        <v>52.26</v>
      </c>
      <c r="K793">
        <v>3.98</v>
      </c>
      <c r="L793">
        <v>48.28</v>
      </c>
      <c r="M793">
        <v>-14</v>
      </c>
      <c r="N793" t="s">
        <v>41</v>
      </c>
    </row>
    <row r="794" spans="1:14" x14ac:dyDescent="0.25">
      <c r="A794" t="s">
        <v>40</v>
      </c>
      <c r="B794">
        <v>624</v>
      </c>
      <c r="C794" s="1">
        <v>42830</v>
      </c>
      <c r="D794" t="str">
        <f>"600004355565"</f>
        <v>600004355565</v>
      </c>
      <c r="E794" s="1">
        <v>42818</v>
      </c>
      <c r="F794">
        <v>0</v>
      </c>
      <c r="G794" s="1">
        <v>42832</v>
      </c>
      <c r="H794" s="1">
        <v>42846</v>
      </c>
      <c r="I794" t="s">
        <v>15</v>
      </c>
      <c r="J794">
        <v>17.29</v>
      </c>
      <c r="K794">
        <v>1.57</v>
      </c>
      <c r="L794">
        <v>15.72</v>
      </c>
      <c r="M794">
        <v>-14</v>
      </c>
      <c r="N794" t="s">
        <v>41</v>
      </c>
    </row>
    <row r="795" spans="1:14" x14ac:dyDescent="0.25">
      <c r="A795" t="s">
        <v>40</v>
      </c>
      <c r="B795">
        <v>1775</v>
      </c>
      <c r="C795" s="1">
        <v>43007</v>
      </c>
      <c r="D795" t="str">
        <f>"600004556256"</f>
        <v>600004556256</v>
      </c>
      <c r="E795" s="1">
        <v>42996</v>
      </c>
      <c r="F795">
        <v>0</v>
      </c>
      <c r="G795" s="1">
        <v>43010</v>
      </c>
      <c r="H795" s="1">
        <v>43024</v>
      </c>
      <c r="I795" t="s">
        <v>15</v>
      </c>
      <c r="J795">
        <v>0.61</v>
      </c>
      <c r="K795">
        <v>0.61</v>
      </c>
      <c r="L795">
        <v>0</v>
      </c>
      <c r="M795">
        <v>-14</v>
      </c>
      <c r="N795" t="s">
        <v>41</v>
      </c>
    </row>
    <row r="796" spans="1:14" x14ac:dyDescent="0.25">
      <c r="A796" t="s">
        <v>40</v>
      </c>
      <c r="B796">
        <v>625</v>
      </c>
      <c r="C796" s="1">
        <v>42830</v>
      </c>
      <c r="D796" t="str">
        <f>"600004355570"</f>
        <v>600004355570</v>
      </c>
      <c r="E796" s="1">
        <v>42818</v>
      </c>
      <c r="F796">
        <v>0</v>
      </c>
      <c r="G796" s="1">
        <v>42832</v>
      </c>
      <c r="H796" s="1">
        <v>42846</v>
      </c>
      <c r="I796" t="s">
        <v>15</v>
      </c>
      <c r="J796">
        <v>19.22</v>
      </c>
      <c r="K796">
        <v>0.97</v>
      </c>
      <c r="L796">
        <v>18.25</v>
      </c>
      <c r="M796">
        <v>-14</v>
      </c>
      <c r="N796" t="s">
        <v>41</v>
      </c>
    </row>
    <row r="797" spans="1:14" x14ac:dyDescent="0.25">
      <c r="A797" t="s">
        <v>40</v>
      </c>
      <c r="B797">
        <v>422</v>
      </c>
      <c r="C797" s="1">
        <v>42802</v>
      </c>
      <c r="D797" t="str">
        <f>"600004269003"</f>
        <v>600004269003</v>
      </c>
      <c r="E797" s="1">
        <v>42790</v>
      </c>
      <c r="F797">
        <v>0</v>
      </c>
      <c r="G797" s="1">
        <v>42804</v>
      </c>
      <c r="H797" s="1">
        <v>42818</v>
      </c>
      <c r="I797" t="s">
        <v>15</v>
      </c>
      <c r="J797">
        <v>17.309999999999999</v>
      </c>
      <c r="K797">
        <v>1.57</v>
      </c>
      <c r="L797">
        <v>15.74</v>
      </c>
      <c r="M797">
        <v>-14</v>
      </c>
      <c r="N797" t="s">
        <v>41</v>
      </c>
    </row>
    <row r="798" spans="1:14" x14ac:dyDescent="0.25">
      <c r="A798" t="s">
        <v>40</v>
      </c>
      <c r="B798">
        <v>628</v>
      </c>
      <c r="C798" s="1">
        <v>42830</v>
      </c>
      <c r="D798" t="str">
        <f>"600004355569"</f>
        <v>600004355569</v>
      </c>
      <c r="E798" s="1">
        <v>42818</v>
      </c>
      <c r="F798">
        <v>0</v>
      </c>
      <c r="G798" s="1">
        <v>42832</v>
      </c>
      <c r="H798" s="1">
        <v>42846</v>
      </c>
      <c r="I798" t="s">
        <v>15</v>
      </c>
      <c r="J798">
        <v>23.06</v>
      </c>
      <c r="K798">
        <v>1.27</v>
      </c>
      <c r="L798">
        <v>21.79</v>
      </c>
      <c r="M798">
        <v>-14</v>
      </c>
      <c r="N798" t="s">
        <v>41</v>
      </c>
    </row>
    <row r="799" spans="1:14" x14ac:dyDescent="0.25">
      <c r="A799" t="s">
        <v>40</v>
      </c>
      <c r="B799">
        <v>1773</v>
      </c>
      <c r="C799" s="1">
        <v>43007</v>
      </c>
      <c r="D799" t="str">
        <f>"600004556261"</f>
        <v>600004556261</v>
      </c>
      <c r="E799" s="1">
        <v>42996</v>
      </c>
      <c r="F799">
        <v>0</v>
      </c>
      <c r="G799" s="1">
        <v>43010</v>
      </c>
      <c r="H799" s="1">
        <v>43024</v>
      </c>
      <c r="I799" t="s">
        <v>15</v>
      </c>
      <c r="J799">
        <v>29.1</v>
      </c>
      <c r="K799">
        <v>2.46</v>
      </c>
      <c r="L799">
        <v>26.64</v>
      </c>
      <c r="M799">
        <v>-14</v>
      </c>
      <c r="N799" t="s">
        <v>41</v>
      </c>
    </row>
    <row r="800" spans="1:14" x14ac:dyDescent="0.25">
      <c r="A800" t="s">
        <v>40</v>
      </c>
      <c r="B800">
        <v>1780</v>
      </c>
      <c r="C800" s="1">
        <v>43007</v>
      </c>
      <c r="D800" t="str">
        <f>"600004556250"</f>
        <v>600004556250</v>
      </c>
      <c r="E800" s="1">
        <v>42996</v>
      </c>
      <c r="F800">
        <v>0</v>
      </c>
      <c r="G800" s="1">
        <v>43010</v>
      </c>
      <c r="H800" s="1">
        <v>43024</v>
      </c>
      <c r="I800" t="s">
        <v>15</v>
      </c>
      <c r="J800">
        <v>16.73</v>
      </c>
      <c r="K800">
        <v>1.37</v>
      </c>
      <c r="L800">
        <v>15.36</v>
      </c>
      <c r="M800">
        <v>-14</v>
      </c>
      <c r="N800" t="s">
        <v>41</v>
      </c>
    </row>
    <row r="801" spans="1:14" x14ac:dyDescent="0.25">
      <c r="A801" t="s">
        <v>40</v>
      </c>
      <c r="B801">
        <v>1777</v>
      </c>
      <c r="C801" s="1">
        <v>43007</v>
      </c>
      <c r="D801" t="str">
        <f>"600004556259"</f>
        <v>600004556259</v>
      </c>
      <c r="E801" s="1">
        <v>42996</v>
      </c>
      <c r="F801">
        <v>0</v>
      </c>
      <c r="G801" s="1">
        <v>43010</v>
      </c>
      <c r="H801" s="1">
        <v>43024</v>
      </c>
      <c r="I801" t="s">
        <v>15</v>
      </c>
      <c r="J801">
        <v>13.96</v>
      </c>
      <c r="K801">
        <v>1.27</v>
      </c>
      <c r="L801">
        <v>12.69</v>
      </c>
      <c r="M801">
        <v>-14</v>
      </c>
      <c r="N801" t="s">
        <v>41</v>
      </c>
    </row>
    <row r="802" spans="1:14" x14ac:dyDescent="0.25">
      <c r="A802" t="s">
        <v>40</v>
      </c>
      <c r="B802">
        <v>613</v>
      </c>
      <c r="C802" s="1">
        <v>42830</v>
      </c>
      <c r="D802" t="str">
        <f>"600004355562"</f>
        <v>600004355562</v>
      </c>
      <c r="E802" s="1">
        <v>42818</v>
      </c>
      <c r="F802">
        <v>0</v>
      </c>
      <c r="G802" s="1">
        <v>42832</v>
      </c>
      <c r="H802" s="1">
        <v>42846</v>
      </c>
      <c r="I802" t="s">
        <v>15</v>
      </c>
      <c r="J802">
        <v>52.54</v>
      </c>
      <c r="K802">
        <v>4.05</v>
      </c>
      <c r="L802">
        <v>48.49</v>
      </c>
      <c r="M802">
        <v>-14</v>
      </c>
      <c r="N802" t="s">
        <v>41</v>
      </c>
    </row>
    <row r="803" spans="1:14" x14ac:dyDescent="0.25">
      <c r="A803" t="s">
        <v>40</v>
      </c>
      <c r="B803">
        <v>1778</v>
      </c>
      <c r="C803" s="1">
        <v>43007</v>
      </c>
      <c r="D803" t="str">
        <f>"600004556242"</f>
        <v>600004556242</v>
      </c>
      <c r="E803" s="1">
        <v>42996</v>
      </c>
      <c r="F803">
        <v>0</v>
      </c>
      <c r="G803" s="1">
        <v>43010</v>
      </c>
      <c r="H803" s="1">
        <v>43024</v>
      </c>
      <c r="I803" t="s">
        <v>15</v>
      </c>
      <c r="J803">
        <v>0.35</v>
      </c>
      <c r="K803">
        <v>0.35</v>
      </c>
      <c r="L803">
        <v>0</v>
      </c>
      <c r="M803">
        <v>-14</v>
      </c>
      <c r="N803" t="s">
        <v>41</v>
      </c>
    </row>
    <row r="804" spans="1:14" x14ac:dyDescent="0.25">
      <c r="A804" t="s">
        <v>40</v>
      </c>
      <c r="B804">
        <v>408</v>
      </c>
      <c r="C804" s="1">
        <v>42802</v>
      </c>
      <c r="D804" t="str">
        <f>"600004268980"</f>
        <v>600004268980</v>
      </c>
      <c r="E804" s="1">
        <v>42790</v>
      </c>
      <c r="F804">
        <v>0</v>
      </c>
      <c r="G804" s="1">
        <v>42804</v>
      </c>
      <c r="H804" s="1">
        <v>42818</v>
      </c>
      <c r="I804" t="s">
        <v>15</v>
      </c>
      <c r="J804">
        <v>0.54</v>
      </c>
      <c r="K804">
        <v>0.54</v>
      </c>
      <c r="L804">
        <v>0</v>
      </c>
      <c r="M804">
        <v>-14</v>
      </c>
      <c r="N804" t="s">
        <v>41</v>
      </c>
    </row>
    <row r="805" spans="1:14" x14ac:dyDescent="0.25">
      <c r="A805" t="s">
        <v>40</v>
      </c>
      <c r="B805">
        <v>632</v>
      </c>
      <c r="C805" s="1">
        <v>42830</v>
      </c>
      <c r="D805" t="str">
        <f>"600004355553"</f>
        <v>600004355553</v>
      </c>
      <c r="E805" s="1">
        <v>42818</v>
      </c>
      <c r="F805">
        <v>0</v>
      </c>
      <c r="G805" s="1">
        <v>42832</v>
      </c>
      <c r="H805" s="1">
        <v>42846</v>
      </c>
      <c r="I805" t="s">
        <v>15</v>
      </c>
      <c r="J805">
        <v>16.18</v>
      </c>
      <c r="K805">
        <v>1.0900000000000001</v>
      </c>
      <c r="L805">
        <v>15.09</v>
      </c>
      <c r="M805">
        <v>-14</v>
      </c>
      <c r="N805" t="s">
        <v>41</v>
      </c>
    </row>
    <row r="806" spans="1:14" x14ac:dyDescent="0.25">
      <c r="A806" t="s">
        <v>40</v>
      </c>
      <c r="B806">
        <v>633</v>
      </c>
      <c r="C806" s="1">
        <v>42830</v>
      </c>
      <c r="D806" t="str">
        <f>"600004355551"</f>
        <v>600004355551</v>
      </c>
      <c r="E806" s="1">
        <v>42818</v>
      </c>
      <c r="F806">
        <v>0</v>
      </c>
      <c r="G806" s="1">
        <v>42832</v>
      </c>
      <c r="H806" s="1">
        <v>42846</v>
      </c>
      <c r="I806" t="s">
        <v>15</v>
      </c>
      <c r="J806">
        <v>52.51</v>
      </c>
      <c r="K806">
        <v>4.34</v>
      </c>
      <c r="L806">
        <v>48.17</v>
      </c>
      <c r="M806">
        <v>-14</v>
      </c>
      <c r="N806" t="s">
        <v>41</v>
      </c>
    </row>
    <row r="807" spans="1:14" x14ac:dyDescent="0.25">
      <c r="A807" t="s">
        <v>40</v>
      </c>
      <c r="B807">
        <v>609</v>
      </c>
      <c r="C807" s="1">
        <v>42830</v>
      </c>
      <c r="D807" t="str">
        <f>"600004355564"</f>
        <v>600004355564</v>
      </c>
      <c r="E807" s="1">
        <v>42818</v>
      </c>
      <c r="F807">
        <v>0</v>
      </c>
      <c r="G807" s="1">
        <v>42832</v>
      </c>
      <c r="H807" s="1">
        <v>42846</v>
      </c>
      <c r="I807" t="s">
        <v>15</v>
      </c>
      <c r="J807">
        <v>62.63</v>
      </c>
      <c r="K807">
        <v>4.63</v>
      </c>
      <c r="L807">
        <v>58</v>
      </c>
      <c r="M807">
        <v>-14</v>
      </c>
      <c r="N807" t="s">
        <v>41</v>
      </c>
    </row>
    <row r="808" spans="1:14" x14ac:dyDescent="0.25">
      <c r="A808" t="s">
        <v>40</v>
      </c>
      <c r="B808">
        <v>626</v>
      </c>
      <c r="C808" s="1">
        <v>42830</v>
      </c>
      <c r="D808" t="str">
        <f>"600004355555"</f>
        <v>600004355555</v>
      </c>
      <c r="E808" s="1">
        <v>42818</v>
      </c>
      <c r="F808">
        <v>0</v>
      </c>
      <c r="G808" s="1">
        <v>42832</v>
      </c>
      <c r="H808" s="1">
        <v>42846</v>
      </c>
      <c r="I808" t="s">
        <v>15</v>
      </c>
      <c r="J808">
        <v>24.84</v>
      </c>
      <c r="K808">
        <v>1.43</v>
      </c>
      <c r="L808">
        <v>23.41</v>
      </c>
      <c r="M808">
        <v>-14</v>
      </c>
      <c r="N808" t="s">
        <v>41</v>
      </c>
    </row>
    <row r="809" spans="1:14" x14ac:dyDescent="0.25">
      <c r="A809" t="s">
        <v>40</v>
      </c>
      <c r="B809">
        <v>1783</v>
      </c>
      <c r="C809" s="1">
        <v>43007</v>
      </c>
      <c r="D809" t="str">
        <f>"600004556234"</f>
        <v>600004556234</v>
      </c>
      <c r="E809" s="1">
        <v>42996</v>
      </c>
      <c r="F809">
        <v>0</v>
      </c>
      <c r="G809" s="1">
        <v>43010</v>
      </c>
      <c r="H809" s="1">
        <v>43024</v>
      </c>
      <c r="I809" t="s">
        <v>15</v>
      </c>
      <c r="J809">
        <v>27.2</v>
      </c>
      <c r="K809">
        <v>2.3199999999999998</v>
      </c>
      <c r="L809">
        <v>24.88</v>
      </c>
      <c r="M809">
        <v>-14</v>
      </c>
      <c r="N809" t="s">
        <v>41</v>
      </c>
    </row>
    <row r="810" spans="1:14" x14ac:dyDescent="0.25">
      <c r="A810" t="s">
        <v>40</v>
      </c>
      <c r="B810">
        <v>634</v>
      </c>
      <c r="C810" s="1">
        <v>42830</v>
      </c>
      <c r="D810" t="str">
        <f>"600004355559"</f>
        <v>600004355559</v>
      </c>
      <c r="E810" s="1">
        <v>42818</v>
      </c>
      <c r="F810">
        <v>0</v>
      </c>
      <c r="G810" s="1">
        <v>42832</v>
      </c>
      <c r="H810" s="1">
        <v>42846</v>
      </c>
      <c r="I810" t="s">
        <v>15</v>
      </c>
      <c r="J810">
        <v>62.78</v>
      </c>
      <c r="K810">
        <v>4.72</v>
      </c>
      <c r="L810">
        <v>58.06</v>
      </c>
      <c r="M810">
        <v>-14</v>
      </c>
      <c r="N810" t="s">
        <v>41</v>
      </c>
    </row>
    <row r="811" spans="1:14" x14ac:dyDescent="0.25">
      <c r="A811" t="s">
        <v>40</v>
      </c>
      <c r="B811">
        <v>406</v>
      </c>
      <c r="C811" s="1">
        <v>42802</v>
      </c>
      <c r="D811" t="str">
        <f>"600004268992"</f>
        <v>600004268992</v>
      </c>
      <c r="E811" s="1">
        <v>42790</v>
      </c>
      <c r="F811">
        <v>0</v>
      </c>
      <c r="G811" s="1">
        <v>42804</v>
      </c>
      <c r="H811" s="1">
        <v>42818</v>
      </c>
      <c r="I811" t="s">
        <v>15</v>
      </c>
      <c r="J811">
        <v>0.85</v>
      </c>
      <c r="K811">
        <v>0.85</v>
      </c>
      <c r="L811">
        <v>0</v>
      </c>
      <c r="M811">
        <v>-14</v>
      </c>
      <c r="N811" t="s">
        <v>41</v>
      </c>
    </row>
    <row r="812" spans="1:14" x14ac:dyDescent="0.25">
      <c r="A812" t="s">
        <v>40</v>
      </c>
      <c r="B812">
        <v>1770</v>
      </c>
      <c r="C812" s="1">
        <v>43007</v>
      </c>
      <c r="D812" t="str">
        <f>"600004556243"</f>
        <v>600004556243</v>
      </c>
      <c r="E812" s="1">
        <v>42996</v>
      </c>
      <c r="F812">
        <v>0</v>
      </c>
      <c r="G812" s="1">
        <v>43010</v>
      </c>
      <c r="H812" s="1">
        <v>43024</v>
      </c>
      <c r="I812" t="s">
        <v>15</v>
      </c>
      <c r="J812">
        <v>23.21</v>
      </c>
      <c r="K812">
        <v>2.11</v>
      </c>
      <c r="L812">
        <v>21.1</v>
      </c>
      <c r="M812">
        <v>-14</v>
      </c>
      <c r="N812" t="s">
        <v>41</v>
      </c>
    </row>
    <row r="813" spans="1:14" x14ac:dyDescent="0.25">
      <c r="A813" t="s">
        <v>40</v>
      </c>
      <c r="B813">
        <v>614</v>
      </c>
      <c r="C813" s="1">
        <v>42830</v>
      </c>
      <c r="D813" t="str">
        <f>"600004355561"</f>
        <v>600004355561</v>
      </c>
      <c r="E813" s="1">
        <v>42818</v>
      </c>
      <c r="F813">
        <v>0</v>
      </c>
      <c r="G813" s="1">
        <v>42832</v>
      </c>
      <c r="H813" s="1">
        <v>42846</v>
      </c>
      <c r="I813" t="s">
        <v>15</v>
      </c>
      <c r="J813">
        <v>71.91</v>
      </c>
      <c r="K813">
        <v>6.54</v>
      </c>
      <c r="L813">
        <v>65.37</v>
      </c>
      <c r="M813">
        <v>-14</v>
      </c>
      <c r="N813" t="s">
        <v>41</v>
      </c>
    </row>
    <row r="814" spans="1:14" x14ac:dyDescent="0.25">
      <c r="A814" t="s">
        <v>40</v>
      </c>
      <c r="B814">
        <v>1765</v>
      </c>
      <c r="C814" s="1">
        <v>43007</v>
      </c>
      <c r="D814" t="str">
        <f>"600004556255"</f>
        <v>600004556255</v>
      </c>
      <c r="E814" s="1">
        <v>42996</v>
      </c>
      <c r="F814">
        <v>0</v>
      </c>
      <c r="G814" s="1">
        <v>43010</v>
      </c>
      <c r="H814" s="1">
        <v>43024</v>
      </c>
      <c r="I814" t="s">
        <v>15</v>
      </c>
      <c r="J814">
        <v>16.010000000000002</v>
      </c>
      <c r="K814">
        <v>0.61</v>
      </c>
      <c r="L814">
        <v>15.4</v>
      </c>
      <c r="M814">
        <v>-14</v>
      </c>
      <c r="N814" t="s">
        <v>41</v>
      </c>
    </row>
    <row r="815" spans="1:14" x14ac:dyDescent="0.25">
      <c r="A815" t="s">
        <v>40</v>
      </c>
      <c r="B815">
        <v>630</v>
      </c>
      <c r="C815" s="1">
        <v>42830</v>
      </c>
      <c r="D815" t="str">
        <f>"600004355554"</f>
        <v>600004355554</v>
      </c>
      <c r="E815" s="1">
        <v>42818</v>
      </c>
      <c r="F815">
        <v>0</v>
      </c>
      <c r="G815" s="1">
        <v>42832</v>
      </c>
      <c r="H815" s="1">
        <v>42846</v>
      </c>
      <c r="I815" t="s">
        <v>15</v>
      </c>
      <c r="J815">
        <v>21.43</v>
      </c>
      <c r="K815">
        <v>1.37</v>
      </c>
      <c r="L815">
        <v>20.059999999999999</v>
      </c>
      <c r="M815">
        <v>-14</v>
      </c>
      <c r="N815" t="s">
        <v>41</v>
      </c>
    </row>
    <row r="816" spans="1:14" x14ac:dyDescent="0.25">
      <c r="A816" t="s">
        <v>40</v>
      </c>
      <c r="B816">
        <v>629</v>
      </c>
      <c r="C816" s="1">
        <v>42830</v>
      </c>
      <c r="D816" t="str">
        <f>"600004355566"</f>
        <v>600004355566</v>
      </c>
      <c r="E816" s="1">
        <v>42818</v>
      </c>
      <c r="F816">
        <v>0</v>
      </c>
      <c r="G816" s="1">
        <v>42832</v>
      </c>
      <c r="H816" s="1">
        <v>42846</v>
      </c>
      <c r="I816" t="s">
        <v>15</v>
      </c>
      <c r="J816">
        <v>21.16</v>
      </c>
      <c r="K816">
        <v>1.1000000000000001</v>
      </c>
      <c r="L816">
        <v>20.059999999999999</v>
      </c>
      <c r="M816">
        <v>-14</v>
      </c>
      <c r="N816" t="s">
        <v>41</v>
      </c>
    </row>
    <row r="817" spans="1:14" x14ac:dyDescent="0.25">
      <c r="A817" t="s">
        <v>40</v>
      </c>
      <c r="B817">
        <v>627</v>
      </c>
      <c r="C817" s="1">
        <v>42830</v>
      </c>
      <c r="D817" t="str">
        <f>"600004355571"</f>
        <v>600004355571</v>
      </c>
      <c r="E817" s="1">
        <v>42818</v>
      </c>
      <c r="F817">
        <v>0</v>
      </c>
      <c r="G817" s="1">
        <v>42832</v>
      </c>
      <c r="H817" s="1">
        <v>42846</v>
      </c>
      <c r="I817" t="s">
        <v>15</v>
      </c>
      <c r="J817">
        <v>39.81</v>
      </c>
      <c r="K817">
        <v>3.62</v>
      </c>
      <c r="L817">
        <v>36.19</v>
      </c>
      <c r="M817">
        <v>-14</v>
      </c>
      <c r="N817" t="s">
        <v>41</v>
      </c>
    </row>
    <row r="818" spans="1:14" x14ac:dyDescent="0.25">
      <c r="A818" t="s">
        <v>31</v>
      </c>
      <c r="B818">
        <v>1904</v>
      </c>
      <c r="C818" s="1">
        <v>43033</v>
      </c>
      <c r="D818" t="s">
        <v>411</v>
      </c>
      <c r="E818" s="1">
        <v>43018</v>
      </c>
      <c r="F818">
        <v>0</v>
      </c>
      <c r="G818" s="1">
        <v>43034</v>
      </c>
      <c r="H818" s="1">
        <v>43048</v>
      </c>
      <c r="I818" t="s">
        <v>15</v>
      </c>
      <c r="J818" s="2">
        <v>1944.48</v>
      </c>
      <c r="K818">
        <v>92.59</v>
      </c>
      <c r="L818" s="2">
        <v>1851.89</v>
      </c>
      <c r="M818">
        <v>-14</v>
      </c>
      <c r="N818" t="s">
        <v>33</v>
      </c>
    </row>
    <row r="819" spans="1:14" x14ac:dyDescent="0.25">
      <c r="A819" t="s">
        <v>31</v>
      </c>
      <c r="B819">
        <v>1905</v>
      </c>
      <c r="C819" s="1">
        <v>43033</v>
      </c>
      <c r="D819" t="s">
        <v>412</v>
      </c>
      <c r="E819" s="1">
        <v>43018</v>
      </c>
      <c r="F819">
        <v>0</v>
      </c>
      <c r="G819" s="1">
        <v>43034</v>
      </c>
      <c r="H819" s="1">
        <v>43048</v>
      </c>
      <c r="I819" t="s">
        <v>15</v>
      </c>
      <c r="J819">
        <v>9.7799999999999994</v>
      </c>
      <c r="K819">
        <v>0.47</v>
      </c>
      <c r="L819">
        <v>9.31</v>
      </c>
      <c r="M819">
        <v>-14</v>
      </c>
      <c r="N819" t="s">
        <v>33</v>
      </c>
    </row>
    <row r="820" spans="1:14" x14ac:dyDescent="0.25">
      <c r="A820" t="s">
        <v>246</v>
      </c>
      <c r="B820">
        <v>2234</v>
      </c>
      <c r="C820" s="1">
        <v>43075</v>
      </c>
      <c r="D820" t="s">
        <v>413</v>
      </c>
      <c r="E820" s="1">
        <v>43059</v>
      </c>
      <c r="F820">
        <v>0</v>
      </c>
      <c r="G820" s="1">
        <v>43075</v>
      </c>
      <c r="H820" s="1">
        <v>43089</v>
      </c>
      <c r="I820" t="s">
        <v>15</v>
      </c>
      <c r="J820">
        <v>854</v>
      </c>
      <c r="K820">
        <v>154</v>
      </c>
      <c r="L820">
        <v>700</v>
      </c>
      <c r="M820">
        <v>-14</v>
      </c>
      <c r="N820" t="s">
        <v>78</v>
      </c>
    </row>
    <row r="821" spans="1:14" x14ac:dyDescent="0.25">
      <c r="A821" t="s">
        <v>246</v>
      </c>
      <c r="B821">
        <v>2235</v>
      </c>
      <c r="C821" s="1">
        <v>43075</v>
      </c>
      <c r="D821" t="s">
        <v>414</v>
      </c>
      <c r="E821" s="1">
        <v>43059</v>
      </c>
      <c r="F821">
        <v>0</v>
      </c>
      <c r="G821" s="1">
        <v>43075</v>
      </c>
      <c r="H821" s="1">
        <v>43089</v>
      </c>
      <c r="I821" t="s">
        <v>15</v>
      </c>
      <c r="J821">
        <v>610</v>
      </c>
      <c r="K821">
        <v>110</v>
      </c>
      <c r="L821">
        <v>500</v>
      </c>
      <c r="M821">
        <v>-14</v>
      </c>
      <c r="N821" t="s">
        <v>78</v>
      </c>
    </row>
    <row r="822" spans="1:14" x14ac:dyDescent="0.25">
      <c r="A822" t="s">
        <v>42</v>
      </c>
      <c r="B822">
        <v>945</v>
      </c>
      <c r="C822" s="1">
        <v>42873</v>
      </c>
      <c r="D822" t="s">
        <v>415</v>
      </c>
      <c r="E822" s="1">
        <v>42857</v>
      </c>
      <c r="F822">
        <v>0</v>
      </c>
      <c r="G822" s="1">
        <v>42873</v>
      </c>
      <c r="H822" s="1">
        <v>42887</v>
      </c>
      <c r="I822" t="s">
        <v>15</v>
      </c>
      <c r="J822" s="2">
        <v>1530</v>
      </c>
      <c r="K822">
        <v>0</v>
      </c>
      <c r="L822" s="2">
        <v>1530</v>
      </c>
      <c r="M822">
        <v>-14</v>
      </c>
      <c r="N822" t="s">
        <v>416</v>
      </c>
    </row>
    <row r="823" spans="1:14" x14ac:dyDescent="0.25">
      <c r="A823" t="s">
        <v>417</v>
      </c>
      <c r="B823">
        <v>726</v>
      </c>
      <c r="C823" s="1">
        <v>42845</v>
      </c>
      <c r="D823" t="s">
        <v>418</v>
      </c>
      <c r="E823" s="1">
        <v>42766</v>
      </c>
      <c r="F823">
        <v>0</v>
      </c>
      <c r="G823" s="1">
        <v>42846</v>
      </c>
      <c r="H823" s="1">
        <v>42860</v>
      </c>
      <c r="I823" t="s">
        <v>23</v>
      </c>
      <c r="J823" s="2">
        <v>64719.54</v>
      </c>
      <c r="K823" s="2">
        <v>2489.21</v>
      </c>
      <c r="L823" s="2">
        <v>62230.33</v>
      </c>
      <c r="M823">
        <v>-14</v>
      </c>
      <c r="N823" t="s">
        <v>78</v>
      </c>
    </row>
    <row r="824" spans="1:14" x14ac:dyDescent="0.25">
      <c r="A824" t="s">
        <v>283</v>
      </c>
      <c r="B824">
        <v>525</v>
      </c>
      <c r="C824" s="1">
        <v>42816</v>
      </c>
      <c r="D824" s="4">
        <v>42767</v>
      </c>
      <c r="E824" s="1">
        <v>42804</v>
      </c>
      <c r="F824">
        <v>0</v>
      </c>
      <c r="G824" s="1">
        <v>42821</v>
      </c>
      <c r="H824" s="1">
        <v>42835</v>
      </c>
      <c r="I824" t="s">
        <v>15</v>
      </c>
      <c r="J824">
        <v>134.19999999999999</v>
      </c>
      <c r="K824">
        <v>24.2</v>
      </c>
      <c r="L824">
        <v>110</v>
      </c>
      <c r="M824">
        <v>-14</v>
      </c>
      <c r="N824" t="s">
        <v>129</v>
      </c>
    </row>
    <row r="825" spans="1:14" x14ac:dyDescent="0.25">
      <c r="A825" t="s">
        <v>283</v>
      </c>
      <c r="B825">
        <v>526</v>
      </c>
      <c r="C825" s="1">
        <v>42816</v>
      </c>
      <c r="D825" s="4">
        <v>42736</v>
      </c>
      <c r="E825" s="1">
        <v>42804</v>
      </c>
      <c r="F825">
        <v>0</v>
      </c>
      <c r="G825" s="1">
        <v>42821</v>
      </c>
      <c r="H825" s="1">
        <v>42835</v>
      </c>
      <c r="I825" t="s">
        <v>15</v>
      </c>
      <c r="J825">
        <v>97.6</v>
      </c>
      <c r="K825">
        <v>17.600000000000001</v>
      </c>
      <c r="L825">
        <v>80</v>
      </c>
      <c r="M825">
        <v>-14</v>
      </c>
      <c r="N825" t="s">
        <v>129</v>
      </c>
    </row>
    <row r="826" spans="1:14" x14ac:dyDescent="0.25">
      <c r="A826" t="s">
        <v>419</v>
      </c>
      <c r="B826">
        <v>1433</v>
      </c>
      <c r="C826" s="1">
        <v>42956</v>
      </c>
      <c r="D826" t="s">
        <v>420</v>
      </c>
      <c r="E826" s="1">
        <v>42941</v>
      </c>
      <c r="F826">
        <v>0</v>
      </c>
      <c r="G826" s="1">
        <v>42957</v>
      </c>
      <c r="H826" s="1">
        <v>42971</v>
      </c>
      <c r="I826" t="s">
        <v>15</v>
      </c>
      <c r="J826">
        <v>80</v>
      </c>
      <c r="K826">
        <v>14.43</v>
      </c>
      <c r="L826">
        <v>65.569999999999993</v>
      </c>
      <c r="M826">
        <v>-14</v>
      </c>
      <c r="N826" t="s">
        <v>136</v>
      </c>
    </row>
    <row r="827" spans="1:14" x14ac:dyDescent="0.25">
      <c r="A827" t="s">
        <v>421</v>
      </c>
      <c r="B827">
        <v>399</v>
      </c>
      <c r="C827" s="1">
        <v>42801</v>
      </c>
      <c r="D827" t="str">
        <f>"9500000099"</f>
        <v>9500000099</v>
      </c>
      <c r="E827" s="1">
        <v>42789</v>
      </c>
      <c r="F827">
        <v>0</v>
      </c>
      <c r="G827" s="1">
        <v>42804</v>
      </c>
      <c r="H827" s="1">
        <v>42819</v>
      </c>
      <c r="I827" t="s">
        <v>15</v>
      </c>
      <c r="J827" s="2">
        <v>3607.22</v>
      </c>
      <c r="K827">
        <v>327.93</v>
      </c>
      <c r="L827" s="2">
        <v>3279.29</v>
      </c>
      <c r="M827">
        <v>-15</v>
      </c>
      <c r="N827" t="s">
        <v>66</v>
      </c>
    </row>
    <row r="828" spans="1:14" x14ac:dyDescent="0.25">
      <c r="A828" t="s">
        <v>422</v>
      </c>
      <c r="B828">
        <v>1637</v>
      </c>
      <c r="C828" s="1">
        <v>42993</v>
      </c>
      <c r="D828" t="s">
        <v>423</v>
      </c>
      <c r="E828" s="1">
        <v>42976</v>
      </c>
      <c r="F828">
        <v>0</v>
      </c>
      <c r="G828" s="1">
        <v>42993</v>
      </c>
      <c r="H828" s="1">
        <v>43008</v>
      </c>
      <c r="I828" t="s">
        <v>15</v>
      </c>
      <c r="J828" s="2">
        <v>3538</v>
      </c>
      <c r="K828">
        <v>638</v>
      </c>
      <c r="L828" s="2">
        <v>2900</v>
      </c>
      <c r="M828">
        <v>-15</v>
      </c>
      <c r="N828" t="s">
        <v>287</v>
      </c>
    </row>
    <row r="829" spans="1:14" x14ac:dyDescent="0.25">
      <c r="A829" t="s">
        <v>135</v>
      </c>
      <c r="B829">
        <v>1636</v>
      </c>
      <c r="C829" s="1">
        <v>42993</v>
      </c>
      <c r="D829" t="str">
        <f>"75"</f>
        <v>75</v>
      </c>
      <c r="E829" s="1">
        <v>42978</v>
      </c>
      <c r="F829">
        <v>0</v>
      </c>
      <c r="G829" s="1">
        <v>42993</v>
      </c>
      <c r="H829" s="1">
        <v>43008</v>
      </c>
      <c r="I829" t="s">
        <v>15</v>
      </c>
      <c r="J829">
        <v>935.33</v>
      </c>
      <c r="K829">
        <v>168.67</v>
      </c>
      <c r="L829">
        <v>766.66</v>
      </c>
      <c r="M829">
        <v>-15</v>
      </c>
      <c r="N829" t="s">
        <v>136</v>
      </c>
    </row>
    <row r="830" spans="1:14" x14ac:dyDescent="0.25">
      <c r="A830" t="s">
        <v>424</v>
      </c>
      <c r="B830">
        <v>1900</v>
      </c>
      <c r="C830" s="1">
        <v>43033</v>
      </c>
      <c r="D830" t="s">
        <v>425</v>
      </c>
      <c r="E830" s="1">
        <v>42978</v>
      </c>
      <c r="F830">
        <v>0</v>
      </c>
      <c r="G830" s="1">
        <v>43034</v>
      </c>
      <c r="H830" s="1">
        <v>43049</v>
      </c>
      <c r="I830" t="s">
        <v>15</v>
      </c>
      <c r="J830">
        <v>109</v>
      </c>
      <c r="K830">
        <v>4.1900000000000004</v>
      </c>
      <c r="L830">
        <v>104.81</v>
      </c>
      <c r="M830">
        <v>-15</v>
      </c>
      <c r="N830" t="s">
        <v>78</v>
      </c>
    </row>
    <row r="831" spans="1:14" x14ac:dyDescent="0.25">
      <c r="A831" t="s">
        <v>424</v>
      </c>
      <c r="B831">
        <v>1903</v>
      </c>
      <c r="C831" s="1">
        <v>43033</v>
      </c>
      <c r="D831" t="s">
        <v>426</v>
      </c>
      <c r="E831" s="1">
        <v>42978</v>
      </c>
      <c r="F831">
        <v>0</v>
      </c>
      <c r="G831" s="1">
        <v>43034</v>
      </c>
      <c r="H831" s="1">
        <v>43049</v>
      </c>
      <c r="I831" t="s">
        <v>15</v>
      </c>
      <c r="J831">
        <v>77</v>
      </c>
      <c r="K831">
        <v>2.96</v>
      </c>
      <c r="L831">
        <v>74.040000000000006</v>
      </c>
      <c r="M831">
        <v>-15</v>
      </c>
      <c r="N831" t="s">
        <v>78</v>
      </c>
    </row>
    <row r="832" spans="1:14" x14ac:dyDescent="0.25">
      <c r="A832" t="s">
        <v>424</v>
      </c>
      <c r="B832">
        <v>1902</v>
      </c>
      <c r="C832" s="1">
        <v>43033</v>
      </c>
      <c r="D832" t="s">
        <v>427</v>
      </c>
      <c r="E832" s="1">
        <v>42978</v>
      </c>
      <c r="F832">
        <v>0</v>
      </c>
      <c r="G832" s="1">
        <v>43034</v>
      </c>
      <c r="H832" s="1">
        <v>43049</v>
      </c>
      <c r="I832" t="s">
        <v>15</v>
      </c>
      <c r="J832">
        <v>60</v>
      </c>
      <c r="K832">
        <v>2.31</v>
      </c>
      <c r="L832">
        <v>57.69</v>
      </c>
      <c r="M832">
        <v>-15</v>
      </c>
      <c r="N832" t="s">
        <v>78</v>
      </c>
    </row>
    <row r="833" spans="1:14" x14ac:dyDescent="0.25">
      <c r="A833" t="s">
        <v>424</v>
      </c>
      <c r="B833">
        <v>1901</v>
      </c>
      <c r="C833" s="1">
        <v>43033</v>
      </c>
      <c r="D833" t="s">
        <v>428</v>
      </c>
      <c r="E833" s="1">
        <v>42978</v>
      </c>
      <c r="F833">
        <v>0</v>
      </c>
      <c r="G833" s="1">
        <v>43034</v>
      </c>
      <c r="H833" s="1">
        <v>43049</v>
      </c>
      <c r="I833" t="s">
        <v>15</v>
      </c>
      <c r="J833">
        <v>239</v>
      </c>
      <c r="K833">
        <v>9.19</v>
      </c>
      <c r="L833">
        <v>229.81</v>
      </c>
      <c r="M833">
        <v>-15</v>
      </c>
      <c r="N833" t="s">
        <v>78</v>
      </c>
    </row>
    <row r="834" spans="1:14" x14ac:dyDescent="0.25">
      <c r="A834" t="s">
        <v>241</v>
      </c>
      <c r="B834">
        <v>1599</v>
      </c>
      <c r="C834" s="1">
        <v>42992</v>
      </c>
      <c r="D834" t="s">
        <v>429</v>
      </c>
      <c r="E834" s="1">
        <v>42978</v>
      </c>
      <c r="F834">
        <v>0</v>
      </c>
      <c r="G834" s="1">
        <v>42992</v>
      </c>
      <c r="H834" s="1">
        <v>43008</v>
      </c>
      <c r="I834" t="s">
        <v>15</v>
      </c>
      <c r="J834">
        <v>847.02</v>
      </c>
      <c r="K834">
        <v>152.74</v>
      </c>
      <c r="L834">
        <v>694.28</v>
      </c>
      <c r="M834">
        <v>-16</v>
      </c>
      <c r="N834" t="s">
        <v>30</v>
      </c>
    </row>
    <row r="835" spans="1:14" x14ac:dyDescent="0.25">
      <c r="A835" t="s">
        <v>31</v>
      </c>
      <c r="B835">
        <v>2200</v>
      </c>
      <c r="C835" s="1">
        <v>43075</v>
      </c>
      <c r="D835" t="s">
        <v>430</v>
      </c>
      <c r="E835" s="1">
        <v>43062</v>
      </c>
      <c r="F835">
        <v>0</v>
      </c>
      <c r="G835" s="1">
        <v>43075</v>
      </c>
      <c r="H835" s="1">
        <v>43092</v>
      </c>
      <c r="I835" t="s">
        <v>15</v>
      </c>
      <c r="J835" s="2">
        <v>1805.9</v>
      </c>
      <c r="K835">
        <v>86</v>
      </c>
      <c r="L835" s="2">
        <v>1719.9</v>
      </c>
      <c r="M835">
        <v>-17</v>
      </c>
      <c r="N835" t="s">
        <v>33</v>
      </c>
    </row>
    <row r="836" spans="1:14" x14ac:dyDescent="0.25">
      <c r="A836" t="s">
        <v>31</v>
      </c>
      <c r="B836">
        <v>2201</v>
      </c>
      <c r="C836" s="1">
        <v>43075</v>
      </c>
      <c r="D836" t="s">
        <v>431</v>
      </c>
      <c r="E836" s="1">
        <v>43062</v>
      </c>
      <c r="F836">
        <v>0</v>
      </c>
      <c r="G836" s="1">
        <v>43075</v>
      </c>
      <c r="H836" s="1">
        <v>43092</v>
      </c>
      <c r="I836" t="s">
        <v>15</v>
      </c>
      <c r="J836">
        <v>9.07</v>
      </c>
      <c r="K836">
        <v>0.43</v>
      </c>
      <c r="L836">
        <v>8.64</v>
      </c>
      <c r="M836">
        <v>-17</v>
      </c>
      <c r="N836" t="s">
        <v>33</v>
      </c>
    </row>
    <row r="837" spans="1:14" x14ac:dyDescent="0.25">
      <c r="A837" t="s">
        <v>45</v>
      </c>
      <c r="B837">
        <v>2318</v>
      </c>
      <c r="C837" s="1">
        <v>43082</v>
      </c>
      <c r="D837" s="4">
        <v>42979</v>
      </c>
      <c r="E837" s="1">
        <v>43069</v>
      </c>
      <c r="F837">
        <v>0</v>
      </c>
      <c r="G837" s="1">
        <v>43082</v>
      </c>
      <c r="H837" s="1">
        <v>43099</v>
      </c>
      <c r="I837" t="s">
        <v>15</v>
      </c>
      <c r="J837" s="2">
        <v>1555.65</v>
      </c>
      <c r="K837">
        <v>280.52999999999997</v>
      </c>
      <c r="L837" s="2">
        <v>1275.1199999999999</v>
      </c>
      <c r="M837">
        <v>-17</v>
      </c>
      <c r="N837" t="s">
        <v>30</v>
      </c>
    </row>
    <row r="838" spans="1:14" x14ac:dyDescent="0.25">
      <c r="A838" t="s">
        <v>45</v>
      </c>
      <c r="B838">
        <v>2320</v>
      </c>
      <c r="C838" s="1">
        <v>43082</v>
      </c>
      <c r="D838" s="4">
        <v>42979</v>
      </c>
      <c r="E838" s="1">
        <v>43069</v>
      </c>
      <c r="F838">
        <v>0</v>
      </c>
      <c r="G838" s="1">
        <v>43082</v>
      </c>
      <c r="H838" s="1">
        <v>43099</v>
      </c>
      <c r="I838" t="s">
        <v>15</v>
      </c>
      <c r="J838" s="2">
        <v>17436.57</v>
      </c>
      <c r="K838" s="2">
        <v>3144.3</v>
      </c>
      <c r="L838" s="2">
        <v>14292.27</v>
      </c>
      <c r="M838">
        <v>-17</v>
      </c>
      <c r="N838" t="s">
        <v>30</v>
      </c>
    </row>
    <row r="839" spans="1:14" x14ac:dyDescent="0.25">
      <c r="A839" t="s">
        <v>45</v>
      </c>
      <c r="B839">
        <v>2316</v>
      </c>
      <c r="C839" s="1">
        <v>43082</v>
      </c>
      <c r="D839" s="4">
        <v>42979</v>
      </c>
      <c r="E839" s="1">
        <v>43069</v>
      </c>
      <c r="F839">
        <v>0</v>
      </c>
      <c r="G839" s="1">
        <v>43082</v>
      </c>
      <c r="H839" s="1">
        <v>43099</v>
      </c>
      <c r="I839" t="s">
        <v>15</v>
      </c>
      <c r="J839" s="2">
        <v>2089.91</v>
      </c>
      <c r="K839">
        <v>376.87</v>
      </c>
      <c r="L839" s="2">
        <v>1713.04</v>
      </c>
      <c r="M839">
        <v>-17</v>
      </c>
      <c r="N839" t="s">
        <v>30</v>
      </c>
    </row>
    <row r="840" spans="1:14" x14ac:dyDescent="0.25">
      <c r="A840" t="s">
        <v>45</v>
      </c>
      <c r="B840">
        <v>2315</v>
      </c>
      <c r="C840" s="1">
        <v>43082</v>
      </c>
      <c r="D840" s="4">
        <v>42979</v>
      </c>
      <c r="E840" s="1">
        <v>43069</v>
      </c>
      <c r="F840">
        <v>0</v>
      </c>
      <c r="G840" s="1">
        <v>43082</v>
      </c>
      <c r="H840" s="1">
        <v>43099</v>
      </c>
      <c r="I840" t="s">
        <v>15</v>
      </c>
      <c r="J840" s="2">
        <v>1712.68</v>
      </c>
      <c r="K840">
        <v>308.83999999999997</v>
      </c>
      <c r="L840" s="2">
        <v>1403.84</v>
      </c>
      <c r="M840">
        <v>-17</v>
      </c>
      <c r="N840" t="s">
        <v>30</v>
      </c>
    </row>
    <row r="841" spans="1:14" x14ac:dyDescent="0.25">
      <c r="A841" t="s">
        <v>45</v>
      </c>
      <c r="B841">
        <v>2319</v>
      </c>
      <c r="C841" s="1">
        <v>43082</v>
      </c>
      <c r="D841" s="4">
        <v>42979</v>
      </c>
      <c r="E841" s="1">
        <v>43069</v>
      </c>
      <c r="F841">
        <v>0</v>
      </c>
      <c r="G841" s="1">
        <v>43082</v>
      </c>
      <c r="H841" s="1">
        <v>43099</v>
      </c>
      <c r="I841" t="s">
        <v>15</v>
      </c>
      <c r="J841" s="2">
        <v>1558.48</v>
      </c>
      <c r="K841">
        <v>281.04000000000002</v>
      </c>
      <c r="L841" s="2">
        <v>1277.44</v>
      </c>
      <c r="M841">
        <v>-17</v>
      </c>
      <c r="N841" t="s">
        <v>30</v>
      </c>
    </row>
    <row r="842" spans="1:14" x14ac:dyDescent="0.25">
      <c r="A842" t="s">
        <v>45</v>
      </c>
      <c r="B842">
        <v>2321</v>
      </c>
      <c r="C842" s="1">
        <v>43082</v>
      </c>
      <c r="D842" s="4">
        <v>42979</v>
      </c>
      <c r="E842" s="1">
        <v>43069</v>
      </c>
      <c r="F842">
        <v>0</v>
      </c>
      <c r="G842" s="1">
        <v>43082</v>
      </c>
      <c r="H842" s="1">
        <v>43099</v>
      </c>
      <c r="I842" t="s">
        <v>15</v>
      </c>
      <c r="J842" s="2">
        <v>3294.06</v>
      </c>
      <c r="K842">
        <v>0</v>
      </c>
      <c r="L842" s="2">
        <v>3294.06</v>
      </c>
      <c r="M842">
        <v>-17</v>
      </c>
      <c r="N842" t="s">
        <v>30</v>
      </c>
    </row>
    <row r="843" spans="1:14" x14ac:dyDescent="0.25">
      <c r="A843" t="s">
        <v>45</v>
      </c>
      <c r="B843">
        <v>2317</v>
      </c>
      <c r="C843" s="1">
        <v>43082</v>
      </c>
      <c r="D843" s="4">
        <v>42979</v>
      </c>
      <c r="E843" s="1">
        <v>43069</v>
      </c>
      <c r="F843">
        <v>0</v>
      </c>
      <c r="G843" s="1">
        <v>43082</v>
      </c>
      <c r="H843" s="1">
        <v>43099</v>
      </c>
      <c r="I843" t="s">
        <v>15</v>
      </c>
      <c r="J843" s="2">
        <v>7361.14</v>
      </c>
      <c r="K843" s="2">
        <v>1327.42</v>
      </c>
      <c r="L843" s="2">
        <v>6033.72</v>
      </c>
      <c r="M843">
        <v>-17</v>
      </c>
      <c r="N843" t="s">
        <v>30</v>
      </c>
    </row>
    <row r="844" spans="1:14" x14ac:dyDescent="0.25">
      <c r="A844" t="s">
        <v>64</v>
      </c>
      <c r="B844">
        <v>648</v>
      </c>
      <c r="C844" s="1">
        <v>42832</v>
      </c>
      <c r="D844" t="s">
        <v>432</v>
      </c>
      <c r="E844" s="1">
        <v>42829</v>
      </c>
      <c r="F844">
        <v>0</v>
      </c>
      <c r="G844" s="1">
        <v>42832</v>
      </c>
      <c r="H844" s="1">
        <v>42849</v>
      </c>
      <c r="I844" t="s">
        <v>15</v>
      </c>
      <c r="J844">
        <v>164.79</v>
      </c>
      <c r="K844">
        <v>19.489999999999998</v>
      </c>
      <c r="L844">
        <v>145.30000000000001</v>
      </c>
      <c r="M844">
        <v>-17</v>
      </c>
      <c r="N844" t="s">
        <v>66</v>
      </c>
    </row>
    <row r="845" spans="1:14" x14ac:dyDescent="0.25">
      <c r="A845" t="s">
        <v>64</v>
      </c>
      <c r="B845">
        <v>1262</v>
      </c>
      <c r="C845" s="1">
        <v>42922</v>
      </c>
      <c r="D845" t="s">
        <v>433</v>
      </c>
      <c r="E845" s="1">
        <v>42919</v>
      </c>
      <c r="F845">
        <v>0</v>
      </c>
      <c r="G845" s="1">
        <v>42923</v>
      </c>
      <c r="H845" s="1">
        <v>42940</v>
      </c>
      <c r="I845" t="s">
        <v>15</v>
      </c>
      <c r="J845">
        <v>503.32</v>
      </c>
      <c r="K845">
        <v>66.290000000000006</v>
      </c>
      <c r="L845">
        <v>437.03</v>
      </c>
      <c r="M845">
        <v>-17</v>
      </c>
      <c r="N845" t="s">
        <v>66</v>
      </c>
    </row>
    <row r="846" spans="1:14" x14ac:dyDescent="0.25">
      <c r="A846" t="s">
        <v>64</v>
      </c>
      <c r="B846">
        <v>646</v>
      </c>
      <c r="C846" s="1">
        <v>42832</v>
      </c>
      <c r="D846" t="s">
        <v>434</v>
      </c>
      <c r="E846" s="1">
        <v>42829</v>
      </c>
      <c r="F846">
        <v>0</v>
      </c>
      <c r="G846" s="1">
        <v>42832</v>
      </c>
      <c r="H846" s="1">
        <v>42849</v>
      </c>
      <c r="I846" t="s">
        <v>15</v>
      </c>
      <c r="J846">
        <v>644.1</v>
      </c>
      <c r="K846">
        <v>116.15</v>
      </c>
      <c r="L846">
        <v>527.95000000000005</v>
      </c>
      <c r="M846">
        <v>-17</v>
      </c>
      <c r="N846" t="s">
        <v>66</v>
      </c>
    </row>
    <row r="847" spans="1:14" x14ac:dyDescent="0.25">
      <c r="A847" t="s">
        <v>64</v>
      </c>
      <c r="B847">
        <v>1256</v>
      </c>
      <c r="C847" s="1">
        <v>42922</v>
      </c>
      <c r="D847" t="s">
        <v>435</v>
      </c>
      <c r="E847" s="1">
        <v>42919</v>
      </c>
      <c r="F847">
        <v>0</v>
      </c>
      <c r="G847" s="1">
        <v>42923</v>
      </c>
      <c r="H847" s="1">
        <v>42940</v>
      </c>
      <c r="I847" t="s">
        <v>15</v>
      </c>
      <c r="J847">
        <v>815.52</v>
      </c>
      <c r="K847">
        <v>147.06</v>
      </c>
      <c r="L847">
        <v>668.46</v>
      </c>
      <c r="M847">
        <v>-17</v>
      </c>
      <c r="N847" t="s">
        <v>66</v>
      </c>
    </row>
    <row r="848" spans="1:14" x14ac:dyDescent="0.25">
      <c r="A848" t="s">
        <v>64</v>
      </c>
      <c r="B848">
        <v>654</v>
      </c>
      <c r="C848" s="1">
        <v>42832</v>
      </c>
      <c r="D848" t="s">
        <v>432</v>
      </c>
      <c r="E848" s="1">
        <v>42829</v>
      </c>
      <c r="F848">
        <v>0</v>
      </c>
      <c r="G848" s="1">
        <v>42832</v>
      </c>
      <c r="H848" s="1">
        <v>42849</v>
      </c>
      <c r="I848" t="s">
        <v>15</v>
      </c>
      <c r="J848">
        <v>130.30000000000001</v>
      </c>
      <c r="K848">
        <v>15.41</v>
      </c>
      <c r="L848">
        <v>114.89</v>
      </c>
      <c r="M848">
        <v>-17</v>
      </c>
      <c r="N848" t="s">
        <v>66</v>
      </c>
    </row>
    <row r="849" spans="1:14" x14ac:dyDescent="0.25">
      <c r="A849" t="s">
        <v>64</v>
      </c>
      <c r="B849">
        <v>1258</v>
      </c>
      <c r="C849" s="1">
        <v>42922</v>
      </c>
      <c r="D849" t="s">
        <v>433</v>
      </c>
      <c r="E849" s="1">
        <v>42919</v>
      </c>
      <c r="F849">
        <v>0</v>
      </c>
      <c r="G849" s="1">
        <v>42923</v>
      </c>
      <c r="H849" s="1">
        <v>42940</v>
      </c>
      <c r="I849" t="s">
        <v>15</v>
      </c>
      <c r="J849">
        <v>600.33000000000004</v>
      </c>
      <c r="K849">
        <v>79.069999999999993</v>
      </c>
      <c r="L849">
        <v>521.26</v>
      </c>
      <c r="M849">
        <v>-17</v>
      </c>
      <c r="N849" t="s">
        <v>66</v>
      </c>
    </row>
    <row r="850" spans="1:14" x14ac:dyDescent="0.25">
      <c r="A850" t="s">
        <v>64</v>
      </c>
      <c r="B850">
        <v>1255</v>
      </c>
      <c r="C850" s="1">
        <v>42922</v>
      </c>
      <c r="D850" t="s">
        <v>436</v>
      </c>
      <c r="E850" s="1">
        <v>42919</v>
      </c>
      <c r="F850">
        <v>0</v>
      </c>
      <c r="G850" s="1">
        <v>42923</v>
      </c>
      <c r="H850" s="1">
        <v>42940</v>
      </c>
      <c r="I850" t="s">
        <v>15</v>
      </c>
      <c r="J850">
        <v>457.88</v>
      </c>
      <c r="K850">
        <v>82.57</v>
      </c>
      <c r="L850">
        <v>375.31</v>
      </c>
      <c r="M850">
        <v>-17</v>
      </c>
      <c r="N850" t="s">
        <v>66</v>
      </c>
    </row>
    <row r="851" spans="1:14" x14ac:dyDescent="0.25">
      <c r="A851" t="s">
        <v>64</v>
      </c>
      <c r="B851">
        <v>652</v>
      </c>
      <c r="C851" s="1">
        <v>42832</v>
      </c>
      <c r="D851" t="s">
        <v>432</v>
      </c>
      <c r="E851" s="1">
        <v>42829</v>
      </c>
      <c r="F851">
        <v>0</v>
      </c>
      <c r="G851" s="1">
        <v>42832</v>
      </c>
      <c r="H851" s="1">
        <v>42849</v>
      </c>
      <c r="I851" t="s">
        <v>15</v>
      </c>
      <c r="J851">
        <v>732.44</v>
      </c>
      <c r="K851">
        <v>86.61</v>
      </c>
      <c r="L851">
        <v>645.83000000000004</v>
      </c>
      <c r="M851">
        <v>-17</v>
      </c>
      <c r="N851" t="s">
        <v>66</v>
      </c>
    </row>
    <row r="852" spans="1:14" x14ac:dyDescent="0.25">
      <c r="A852" t="s">
        <v>64</v>
      </c>
      <c r="B852">
        <v>653</v>
      </c>
      <c r="C852" s="1">
        <v>42832</v>
      </c>
      <c r="D852" t="s">
        <v>432</v>
      </c>
      <c r="E852" s="1">
        <v>42829</v>
      </c>
      <c r="F852">
        <v>0</v>
      </c>
      <c r="G852" s="1">
        <v>42832</v>
      </c>
      <c r="H852" s="1">
        <v>42849</v>
      </c>
      <c r="I852" t="s">
        <v>15</v>
      </c>
      <c r="J852">
        <v>365.29</v>
      </c>
      <c r="K852">
        <v>43.19</v>
      </c>
      <c r="L852">
        <v>322.10000000000002</v>
      </c>
      <c r="M852">
        <v>-17</v>
      </c>
      <c r="N852" t="s">
        <v>66</v>
      </c>
    </row>
    <row r="853" spans="1:14" x14ac:dyDescent="0.25">
      <c r="A853" t="s">
        <v>64</v>
      </c>
      <c r="B853">
        <v>650</v>
      </c>
      <c r="C853" s="1">
        <v>42832</v>
      </c>
      <c r="D853" t="s">
        <v>432</v>
      </c>
      <c r="E853" s="1">
        <v>42829</v>
      </c>
      <c r="F853">
        <v>0</v>
      </c>
      <c r="G853" s="1">
        <v>42832</v>
      </c>
      <c r="H853" s="1">
        <v>42849</v>
      </c>
      <c r="I853" t="s">
        <v>15</v>
      </c>
      <c r="J853">
        <v>293.7</v>
      </c>
      <c r="K853">
        <v>34.729999999999997</v>
      </c>
      <c r="L853">
        <v>258.97000000000003</v>
      </c>
      <c r="M853">
        <v>-17</v>
      </c>
      <c r="N853" t="s">
        <v>66</v>
      </c>
    </row>
    <row r="854" spans="1:14" x14ac:dyDescent="0.25">
      <c r="A854" t="s">
        <v>64</v>
      </c>
      <c r="B854">
        <v>1261</v>
      </c>
      <c r="C854" s="1">
        <v>42922</v>
      </c>
      <c r="D854" t="s">
        <v>433</v>
      </c>
      <c r="E854" s="1">
        <v>42919</v>
      </c>
      <c r="F854">
        <v>0</v>
      </c>
      <c r="G854" s="1">
        <v>42923</v>
      </c>
      <c r="H854" s="1">
        <v>42940</v>
      </c>
      <c r="I854" t="s">
        <v>15</v>
      </c>
      <c r="J854">
        <v>355.31</v>
      </c>
      <c r="K854">
        <v>46.8</v>
      </c>
      <c r="L854">
        <v>308.51</v>
      </c>
      <c r="M854">
        <v>-17</v>
      </c>
      <c r="N854" t="s">
        <v>66</v>
      </c>
    </row>
    <row r="855" spans="1:14" x14ac:dyDescent="0.25">
      <c r="A855" t="s">
        <v>64</v>
      </c>
      <c r="B855">
        <v>647</v>
      </c>
      <c r="C855" s="1">
        <v>42832</v>
      </c>
      <c r="D855" t="s">
        <v>437</v>
      </c>
      <c r="E855" s="1">
        <v>42829</v>
      </c>
      <c r="F855">
        <v>0</v>
      </c>
      <c r="G855" s="1">
        <v>42832</v>
      </c>
      <c r="H855" s="1">
        <v>42849</v>
      </c>
      <c r="I855" t="s">
        <v>15</v>
      </c>
      <c r="J855">
        <v>659.21</v>
      </c>
      <c r="K855">
        <v>118.87</v>
      </c>
      <c r="L855">
        <v>540.34</v>
      </c>
      <c r="M855">
        <v>-17</v>
      </c>
      <c r="N855" t="s">
        <v>66</v>
      </c>
    </row>
    <row r="856" spans="1:14" x14ac:dyDescent="0.25">
      <c r="A856" t="s">
        <v>64</v>
      </c>
      <c r="B856">
        <v>651</v>
      </c>
      <c r="C856" s="1">
        <v>42832</v>
      </c>
      <c r="D856" t="s">
        <v>432</v>
      </c>
      <c r="E856" s="1">
        <v>42829</v>
      </c>
      <c r="F856">
        <v>0</v>
      </c>
      <c r="G856" s="1">
        <v>42832</v>
      </c>
      <c r="H856" s="1">
        <v>42849</v>
      </c>
      <c r="I856" t="s">
        <v>15</v>
      </c>
      <c r="J856" s="2">
        <v>1728.4</v>
      </c>
      <c r="K856">
        <v>204.37</v>
      </c>
      <c r="L856" s="2">
        <v>1524.03</v>
      </c>
      <c r="M856">
        <v>-17</v>
      </c>
      <c r="N856" t="s">
        <v>66</v>
      </c>
    </row>
    <row r="857" spans="1:14" x14ac:dyDescent="0.25">
      <c r="A857" t="s">
        <v>64</v>
      </c>
      <c r="B857">
        <v>649</v>
      </c>
      <c r="C857" s="1">
        <v>42832</v>
      </c>
      <c r="D857" t="s">
        <v>432</v>
      </c>
      <c r="E857" s="1">
        <v>42829</v>
      </c>
      <c r="F857">
        <v>0</v>
      </c>
      <c r="G857" s="1">
        <v>42832</v>
      </c>
      <c r="H857" s="1">
        <v>42849</v>
      </c>
      <c r="I857" t="s">
        <v>15</v>
      </c>
      <c r="J857">
        <v>552.51</v>
      </c>
      <c r="K857">
        <v>65.33</v>
      </c>
      <c r="L857">
        <v>487.18</v>
      </c>
      <c r="M857">
        <v>-17</v>
      </c>
      <c r="N857" t="s">
        <v>66</v>
      </c>
    </row>
    <row r="858" spans="1:14" x14ac:dyDescent="0.25">
      <c r="A858" t="s">
        <v>64</v>
      </c>
      <c r="B858">
        <v>1257</v>
      </c>
      <c r="C858" s="1">
        <v>42922</v>
      </c>
      <c r="D858" t="s">
        <v>433</v>
      </c>
      <c r="E858" s="1">
        <v>42919</v>
      </c>
      <c r="F858">
        <v>0</v>
      </c>
      <c r="G858" s="1">
        <v>42923</v>
      </c>
      <c r="H858" s="1">
        <v>42940</v>
      </c>
      <c r="I858" t="s">
        <v>15</v>
      </c>
      <c r="J858">
        <v>65.319999999999993</v>
      </c>
      <c r="K858">
        <v>8.6</v>
      </c>
      <c r="L858">
        <v>56.72</v>
      </c>
      <c r="M858">
        <v>-17</v>
      </c>
      <c r="N858" t="s">
        <v>66</v>
      </c>
    </row>
    <row r="859" spans="1:14" x14ac:dyDescent="0.25">
      <c r="A859" t="s">
        <v>64</v>
      </c>
      <c r="B859">
        <v>1260</v>
      </c>
      <c r="C859" s="1">
        <v>42922</v>
      </c>
      <c r="D859" t="s">
        <v>433</v>
      </c>
      <c r="E859" s="1">
        <v>42919</v>
      </c>
      <c r="F859">
        <v>0</v>
      </c>
      <c r="G859" s="1">
        <v>42923</v>
      </c>
      <c r="H859" s="1">
        <v>42940</v>
      </c>
      <c r="I859" t="s">
        <v>15</v>
      </c>
      <c r="J859">
        <v>979.03</v>
      </c>
      <c r="K859">
        <v>128.94</v>
      </c>
      <c r="L859">
        <v>850.09</v>
      </c>
      <c r="M859">
        <v>-17</v>
      </c>
      <c r="N859" t="s">
        <v>66</v>
      </c>
    </row>
    <row r="860" spans="1:14" x14ac:dyDescent="0.25">
      <c r="A860" t="s">
        <v>64</v>
      </c>
      <c r="B860">
        <v>1259</v>
      </c>
      <c r="C860" s="1">
        <v>42922</v>
      </c>
      <c r="D860" t="s">
        <v>433</v>
      </c>
      <c r="E860" s="1">
        <v>42919</v>
      </c>
      <c r="F860">
        <v>0</v>
      </c>
      <c r="G860" s="1">
        <v>42923</v>
      </c>
      <c r="H860" s="1">
        <v>42940</v>
      </c>
      <c r="I860" t="s">
        <v>15</v>
      </c>
      <c r="J860">
        <v>199.69</v>
      </c>
      <c r="K860">
        <v>26.3</v>
      </c>
      <c r="L860">
        <v>173.39</v>
      </c>
      <c r="M860">
        <v>-17</v>
      </c>
      <c r="N860" t="s">
        <v>66</v>
      </c>
    </row>
    <row r="861" spans="1:14" x14ac:dyDescent="0.25">
      <c r="A861" t="s">
        <v>64</v>
      </c>
      <c r="B861">
        <v>1263</v>
      </c>
      <c r="C861" s="1">
        <v>42922</v>
      </c>
      <c r="D861" t="s">
        <v>433</v>
      </c>
      <c r="E861" s="1">
        <v>42919</v>
      </c>
      <c r="F861">
        <v>0</v>
      </c>
      <c r="G861" s="1">
        <v>42923</v>
      </c>
      <c r="H861" s="1">
        <v>42940</v>
      </c>
      <c r="I861" t="s">
        <v>15</v>
      </c>
      <c r="J861">
        <v>118</v>
      </c>
      <c r="K861">
        <v>15.54</v>
      </c>
      <c r="L861">
        <v>102.46</v>
      </c>
      <c r="M861">
        <v>-17</v>
      </c>
      <c r="N861" t="s">
        <v>66</v>
      </c>
    </row>
    <row r="862" spans="1:14" x14ac:dyDescent="0.25">
      <c r="A862" t="s">
        <v>438</v>
      </c>
      <c r="B862">
        <v>1179</v>
      </c>
      <c r="C862" s="1">
        <v>42913</v>
      </c>
      <c r="D862" t="str">
        <f>"0000009223"</f>
        <v>0000009223</v>
      </c>
      <c r="E862" s="1">
        <v>42871</v>
      </c>
      <c r="F862">
        <v>0</v>
      </c>
      <c r="G862" s="1">
        <v>42914</v>
      </c>
      <c r="H862" s="1">
        <v>42931</v>
      </c>
      <c r="I862" t="s">
        <v>15</v>
      </c>
      <c r="J862">
        <v>215.59</v>
      </c>
      <c r="K862">
        <v>38.880000000000003</v>
      </c>
      <c r="L862">
        <v>176.71</v>
      </c>
      <c r="M862">
        <v>-17</v>
      </c>
      <c r="N862" t="s">
        <v>27</v>
      </c>
    </row>
    <row r="863" spans="1:14" x14ac:dyDescent="0.25">
      <c r="A863" t="s">
        <v>17</v>
      </c>
      <c r="B863">
        <v>246</v>
      </c>
      <c r="C863" s="1">
        <v>42775</v>
      </c>
      <c r="D863" t="str">
        <f>"00550"</f>
        <v>00550</v>
      </c>
      <c r="E863" s="1">
        <v>42766</v>
      </c>
      <c r="F863">
        <v>0</v>
      </c>
      <c r="G863" s="1">
        <v>42776</v>
      </c>
      <c r="H863" s="1">
        <v>42794</v>
      </c>
      <c r="I863" t="s">
        <v>15</v>
      </c>
      <c r="J863">
        <v>68.319999999999993</v>
      </c>
      <c r="K863">
        <v>12.32</v>
      </c>
      <c r="L863">
        <v>56</v>
      </c>
      <c r="M863">
        <v>-18</v>
      </c>
      <c r="N863" t="s">
        <v>18</v>
      </c>
    </row>
    <row r="864" spans="1:14" x14ac:dyDescent="0.25">
      <c r="A864" t="s">
        <v>17</v>
      </c>
      <c r="B864">
        <v>247</v>
      </c>
      <c r="C864" s="1">
        <v>42775</v>
      </c>
      <c r="D864" t="str">
        <f>"00550"</f>
        <v>00550</v>
      </c>
      <c r="E864" s="1">
        <v>42766</v>
      </c>
      <c r="F864">
        <v>0</v>
      </c>
      <c r="G864" s="1">
        <v>42776</v>
      </c>
      <c r="H864" s="1">
        <v>42794</v>
      </c>
      <c r="I864" t="s">
        <v>15</v>
      </c>
      <c r="J864">
        <v>190.32</v>
      </c>
      <c r="K864">
        <v>34.32</v>
      </c>
      <c r="L864">
        <v>156</v>
      </c>
      <c r="M864">
        <v>-18</v>
      </c>
      <c r="N864" t="s">
        <v>18</v>
      </c>
    </row>
    <row r="865" spans="1:14" x14ac:dyDescent="0.25">
      <c r="A865" t="s">
        <v>241</v>
      </c>
      <c r="B865">
        <v>253</v>
      </c>
      <c r="C865" s="1">
        <v>42776</v>
      </c>
      <c r="D865" t="s">
        <v>75</v>
      </c>
      <c r="E865" s="1">
        <v>42766</v>
      </c>
      <c r="F865">
        <v>0</v>
      </c>
      <c r="G865" s="1">
        <v>42776</v>
      </c>
      <c r="H865" s="1">
        <v>42794</v>
      </c>
      <c r="I865" t="s">
        <v>15</v>
      </c>
      <c r="J865">
        <v>226.92</v>
      </c>
      <c r="K865">
        <v>40.92</v>
      </c>
      <c r="L865">
        <v>186</v>
      </c>
      <c r="M865">
        <v>-18</v>
      </c>
      <c r="N865" t="s">
        <v>439</v>
      </c>
    </row>
    <row r="866" spans="1:14" x14ac:dyDescent="0.25">
      <c r="A866" t="s">
        <v>280</v>
      </c>
      <c r="B866">
        <v>225</v>
      </c>
      <c r="C866" s="1">
        <v>42775</v>
      </c>
      <c r="D866" t="s">
        <v>440</v>
      </c>
      <c r="E866" s="1">
        <v>42753</v>
      </c>
      <c r="F866">
        <v>0</v>
      </c>
      <c r="G866" s="1">
        <v>42776</v>
      </c>
      <c r="H866" s="1">
        <v>42794</v>
      </c>
      <c r="I866" t="s">
        <v>15</v>
      </c>
      <c r="J866">
        <v>218.99</v>
      </c>
      <c r="K866">
        <v>39.49</v>
      </c>
      <c r="L866">
        <v>179.5</v>
      </c>
      <c r="M866">
        <v>-18</v>
      </c>
      <c r="N866" t="s">
        <v>291</v>
      </c>
    </row>
    <row r="867" spans="1:14" x14ac:dyDescent="0.25">
      <c r="A867" t="s">
        <v>417</v>
      </c>
      <c r="B867">
        <v>732</v>
      </c>
      <c r="C867" s="1">
        <v>42845</v>
      </c>
      <c r="D867" t="s">
        <v>441</v>
      </c>
      <c r="E867" s="1">
        <v>42794</v>
      </c>
      <c r="F867">
        <v>0</v>
      </c>
      <c r="G867" s="1">
        <v>42846</v>
      </c>
      <c r="H867" s="1">
        <v>42864</v>
      </c>
      <c r="I867" t="s">
        <v>23</v>
      </c>
      <c r="J867" s="2">
        <v>40899.08</v>
      </c>
      <c r="K867" s="2">
        <v>1947.58</v>
      </c>
      <c r="L867" s="2">
        <v>38951.5</v>
      </c>
      <c r="M867">
        <v>-18</v>
      </c>
      <c r="N867" t="s">
        <v>78</v>
      </c>
    </row>
    <row r="868" spans="1:14" x14ac:dyDescent="0.25">
      <c r="A868" t="s">
        <v>442</v>
      </c>
      <c r="B868">
        <v>224</v>
      </c>
      <c r="C868" s="1">
        <v>42775</v>
      </c>
      <c r="D868" t="str">
        <f>"18"</f>
        <v>18</v>
      </c>
      <c r="E868" s="1">
        <v>42752</v>
      </c>
      <c r="F868">
        <v>0</v>
      </c>
      <c r="G868" s="1">
        <v>42776</v>
      </c>
      <c r="H868" s="1">
        <v>42794</v>
      </c>
      <c r="I868" t="s">
        <v>15</v>
      </c>
      <c r="J868" s="2">
        <v>2193.19</v>
      </c>
      <c r="K868">
        <v>395.49</v>
      </c>
      <c r="L868" s="2">
        <v>1797.7</v>
      </c>
      <c r="M868">
        <v>-18</v>
      </c>
      <c r="N868" t="s">
        <v>30</v>
      </c>
    </row>
    <row r="869" spans="1:14" x14ac:dyDescent="0.25">
      <c r="A869" t="s">
        <v>422</v>
      </c>
      <c r="B869">
        <v>256</v>
      </c>
      <c r="C869" s="1">
        <v>42776</v>
      </c>
      <c r="D869" t="s">
        <v>443</v>
      </c>
      <c r="E869" s="1">
        <v>42761</v>
      </c>
      <c r="F869">
        <v>0</v>
      </c>
      <c r="G869" s="1">
        <v>42776</v>
      </c>
      <c r="H869" s="1">
        <v>42794</v>
      </c>
      <c r="I869" t="s">
        <v>15</v>
      </c>
      <c r="J869" s="2">
        <v>8540</v>
      </c>
      <c r="K869" s="2">
        <v>1540</v>
      </c>
      <c r="L869" s="2">
        <v>7000</v>
      </c>
      <c r="M869">
        <v>-18</v>
      </c>
      <c r="N869" t="s">
        <v>287</v>
      </c>
    </row>
    <row r="870" spans="1:14" x14ac:dyDescent="0.25">
      <c r="A870" t="s">
        <v>444</v>
      </c>
      <c r="B870">
        <v>223</v>
      </c>
      <c r="C870" s="1">
        <v>42775</v>
      </c>
      <c r="D870" t="s">
        <v>445</v>
      </c>
      <c r="E870" s="1">
        <v>42745</v>
      </c>
      <c r="F870">
        <v>0</v>
      </c>
      <c r="G870" s="1">
        <v>42776</v>
      </c>
      <c r="H870" s="1">
        <v>42794</v>
      </c>
      <c r="I870" t="s">
        <v>15</v>
      </c>
      <c r="J870" s="2">
        <v>2016.66</v>
      </c>
      <c r="K870">
        <v>363.66</v>
      </c>
      <c r="L870" s="2">
        <v>1653</v>
      </c>
      <c r="M870">
        <v>-18</v>
      </c>
      <c r="N870" t="s">
        <v>258</v>
      </c>
    </row>
    <row r="871" spans="1:14" x14ac:dyDescent="0.25">
      <c r="A871" t="s">
        <v>438</v>
      </c>
      <c r="B871">
        <v>341</v>
      </c>
      <c r="C871" s="1">
        <v>42789</v>
      </c>
      <c r="D871" t="str">
        <f>"0000000899"</f>
        <v>0000000899</v>
      </c>
      <c r="E871" s="1">
        <v>42748</v>
      </c>
      <c r="F871">
        <v>0</v>
      </c>
      <c r="G871" s="1">
        <v>42790</v>
      </c>
      <c r="H871" s="1">
        <v>42808</v>
      </c>
      <c r="I871" t="s">
        <v>15</v>
      </c>
      <c r="J871">
        <v>156.86000000000001</v>
      </c>
      <c r="K871">
        <v>28.29</v>
      </c>
      <c r="L871">
        <v>128.57</v>
      </c>
      <c r="M871">
        <v>-18</v>
      </c>
      <c r="N871" t="s">
        <v>27</v>
      </c>
    </row>
    <row r="872" spans="1:14" x14ac:dyDescent="0.25">
      <c r="A872" t="s">
        <v>135</v>
      </c>
      <c r="B872">
        <v>255</v>
      </c>
      <c r="C872" s="1">
        <v>42776</v>
      </c>
      <c r="D872" t="str">
        <f>"8"</f>
        <v>8</v>
      </c>
      <c r="E872" s="1">
        <v>42765</v>
      </c>
      <c r="F872">
        <v>0</v>
      </c>
      <c r="G872" s="1">
        <v>42776</v>
      </c>
      <c r="H872" s="1">
        <v>42794</v>
      </c>
      <c r="I872" t="s">
        <v>15</v>
      </c>
      <c r="J872">
        <v>935.33</v>
      </c>
      <c r="K872">
        <v>168.67</v>
      </c>
      <c r="L872">
        <v>766.66</v>
      </c>
      <c r="M872">
        <v>-18</v>
      </c>
      <c r="N872" t="s">
        <v>287</v>
      </c>
    </row>
    <row r="873" spans="1:14" x14ac:dyDescent="0.25">
      <c r="A873" t="s">
        <v>83</v>
      </c>
      <c r="B873">
        <v>2300</v>
      </c>
      <c r="C873" s="1">
        <v>43081</v>
      </c>
      <c r="D873" t="s">
        <v>446</v>
      </c>
      <c r="E873" s="1">
        <v>43069</v>
      </c>
      <c r="F873">
        <v>0</v>
      </c>
      <c r="G873" s="1">
        <v>43081</v>
      </c>
      <c r="H873" s="1">
        <v>43100</v>
      </c>
      <c r="I873" t="s">
        <v>15</v>
      </c>
      <c r="J873" s="2">
        <v>10119.85</v>
      </c>
      <c r="K873">
        <v>919.99</v>
      </c>
      <c r="L873" s="2">
        <v>9199.86</v>
      </c>
      <c r="M873">
        <v>-19</v>
      </c>
      <c r="N873" t="s">
        <v>81</v>
      </c>
    </row>
    <row r="874" spans="1:14" x14ac:dyDescent="0.25">
      <c r="A874" t="s">
        <v>135</v>
      </c>
      <c r="B874">
        <v>2297</v>
      </c>
      <c r="C874" s="1">
        <v>43081</v>
      </c>
      <c r="D874" t="str">
        <f>"116"</f>
        <v>116</v>
      </c>
      <c r="E874" s="1">
        <v>43069</v>
      </c>
      <c r="F874">
        <v>0</v>
      </c>
      <c r="G874" s="1">
        <v>43081</v>
      </c>
      <c r="H874" s="1">
        <v>43100</v>
      </c>
      <c r="I874" t="s">
        <v>15</v>
      </c>
      <c r="J874">
        <v>935.33</v>
      </c>
      <c r="K874">
        <v>168.67</v>
      </c>
      <c r="L874">
        <v>766.66</v>
      </c>
      <c r="M874">
        <v>-19</v>
      </c>
      <c r="N874" t="s">
        <v>89</v>
      </c>
    </row>
    <row r="875" spans="1:14" x14ac:dyDescent="0.25">
      <c r="A875" t="s">
        <v>70</v>
      </c>
      <c r="B875">
        <v>1431</v>
      </c>
      <c r="C875" s="1">
        <v>42956</v>
      </c>
      <c r="D875" t="s">
        <v>447</v>
      </c>
      <c r="E875" s="1">
        <v>42941</v>
      </c>
      <c r="F875">
        <v>0</v>
      </c>
      <c r="G875" s="1">
        <v>42957</v>
      </c>
      <c r="H875" s="1">
        <v>42977</v>
      </c>
      <c r="I875" t="s">
        <v>15</v>
      </c>
      <c r="J875" s="2">
        <v>7783.6</v>
      </c>
      <c r="K875" s="2">
        <v>1403.6</v>
      </c>
      <c r="L875" s="2">
        <v>6380</v>
      </c>
      <c r="M875">
        <v>-20</v>
      </c>
      <c r="N875" t="s">
        <v>72</v>
      </c>
    </row>
    <row r="876" spans="1:14" x14ac:dyDescent="0.25">
      <c r="A876" t="s">
        <v>70</v>
      </c>
      <c r="B876">
        <v>230</v>
      </c>
      <c r="C876" s="1">
        <v>42775</v>
      </c>
      <c r="D876" t="s">
        <v>448</v>
      </c>
      <c r="E876" s="1">
        <v>42751</v>
      </c>
      <c r="F876">
        <v>0</v>
      </c>
      <c r="G876" s="1">
        <v>42776</v>
      </c>
      <c r="H876" s="1">
        <v>42796</v>
      </c>
      <c r="I876" t="s">
        <v>15</v>
      </c>
      <c r="J876" s="2">
        <v>4343.2</v>
      </c>
      <c r="K876">
        <v>783.2</v>
      </c>
      <c r="L876" s="2">
        <v>3560</v>
      </c>
      <c r="M876">
        <v>-20</v>
      </c>
      <c r="N876" t="s">
        <v>52</v>
      </c>
    </row>
    <row r="877" spans="1:14" x14ac:dyDescent="0.25">
      <c r="A877" t="s">
        <v>70</v>
      </c>
      <c r="B877">
        <v>1432</v>
      </c>
      <c r="C877" s="1">
        <v>42956</v>
      </c>
      <c r="D877" t="s">
        <v>449</v>
      </c>
      <c r="E877" s="1">
        <v>42941</v>
      </c>
      <c r="F877">
        <v>0</v>
      </c>
      <c r="G877" s="1">
        <v>42957</v>
      </c>
      <c r="H877" s="1">
        <v>42977</v>
      </c>
      <c r="I877" t="s">
        <v>15</v>
      </c>
      <c r="J877">
        <v>585.6</v>
      </c>
      <c r="K877">
        <v>105.6</v>
      </c>
      <c r="L877">
        <v>480</v>
      </c>
      <c r="M877">
        <v>-20</v>
      </c>
      <c r="N877" t="s">
        <v>72</v>
      </c>
    </row>
    <row r="878" spans="1:14" x14ac:dyDescent="0.25">
      <c r="A878" t="s">
        <v>17</v>
      </c>
      <c r="B878">
        <v>1999</v>
      </c>
      <c r="C878" s="1">
        <v>43049</v>
      </c>
      <c r="D878" t="str">
        <f>"14065"</f>
        <v>14065</v>
      </c>
      <c r="E878" s="1">
        <v>43039</v>
      </c>
      <c r="F878">
        <v>0</v>
      </c>
      <c r="G878" s="1">
        <v>43049</v>
      </c>
      <c r="H878" s="1">
        <v>43069</v>
      </c>
      <c r="I878" t="s">
        <v>15</v>
      </c>
      <c r="J878">
        <v>51</v>
      </c>
      <c r="K878">
        <v>9.1999999999999993</v>
      </c>
      <c r="L878">
        <v>41.8</v>
      </c>
      <c r="M878">
        <v>-20</v>
      </c>
      <c r="N878" t="s">
        <v>18</v>
      </c>
    </row>
    <row r="879" spans="1:14" x14ac:dyDescent="0.25">
      <c r="A879" t="s">
        <v>17</v>
      </c>
      <c r="B879">
        <v>1997</v>
      </c>
      <c r="C879" s="1">
        <v>43049</v>
      </c>
      <c r="D879" t="str">
        <f>"14052"</f>
        <v>14052</v>
      </c>
      <c r="E879" s="1">
        <v>43039</v>
      </c>
      <c r="F879">
        <v>0</v>
      </c>
      <c r="G879" s="1">
        <v>43049</v>
      </c>
      <c r="H879" s="1">
        <v>43069</v>
      </c>
      <c r="I879" t="s">
        <v>15</v>
      </c>
      <c r="J879">
        <v>131.76</v>
      </c>
      <c r="K879">
        <v>23.76</v>
      </c>
      <c r="L879">
        <v>108</v>
      </c>
      <c r="M879">
        <v>-20</v>
      </c>
      <c r="N879" t="s">
        <v>18</v>
      </c>
    </row>
    <row r="880" spans="1:14" x14ac:dyDescent="0.25">
      <c r="A880" t="s">
        <v>17</v>
      </c>
      <c r="B880">
        <v>1998</v>
      </c>
      <c r="C880" s="1">
        <v>43049</v>
      </c>
      <c r="D880" t="str">
        <f>"14182"</f>
        <v>14182</v>
      </c>
      <c r="E880" s="1">
        <v>43039</v>
      </c>
      <c r="F880">
        <v>0</v>
      </c>
      <c r="G880" s="1">
        <v>43049</v>
      </c>
      <c r="H880" s="1">
        <v>43069</v>
      </c>
      <c r="I880" t="s">
        <v>15</v>
      </c>
      <c r="J880">
        <v>242.71</v>
      </c>
      <c r="K880">
        <v>43.77</v>
      </c>
      <c r="L880">
        <v>198.94</v>
      </c>
      <c r="M880">
        <v>-20</v>
      </c>
      <c r="N880" t="s">
        <v>18</v>
      </c>
    </row>
    <row r="881" spans="1:14" x14ac:dyDescent="0.25">
      <c r="A881" t="s">
        <v>241</v>
      </c>
      <c r="B881">
        <v>1982</v>
      </c>
      <c r="C881" s="1">
        <v>43048</v>
      </c>
      <c r="D881" t="s">
        <v>450</v>
      </c>
      <c r="E881" s="1">
        <v>43038</v>
      </c>
      <c r="F881">
        <v>0</v>
      </c>
      <c r="G881" s="1">
        <v>43049</v>
      </c>
      <c r="H881" s="1">
        <v>43069</v>
      </c>
      <c r="I881" t="s">
        <v>15</v>
      </c>
      <c r="J881" s="2">
        <v>1292.6300000000001</v>
      </c>
      <c r="K881">
        <v>233.1</v>
      </c>
      <c r="L881" s="2">
        <v>1059.53</v>
      </c>
      <c r="M881">
        <v>-20</v>
      </c>
      <c r="N881" t="s">
        <v>30</v>
      </c>
    </row>
    <row r="882" spans="1:14" x14ac:dyDescent="0.25">
      <c r="A882" t="s">
        <v>404</v>
      </c>
      <c r="B882">
        <v>974</v>
      </c>
      <c r="C882" s="1">
        <v>42893</v>
      </c>
      <c r="D882" t="s">
        <v>451</v>
      </c>
      <c r="E882" s="1">
        <v>42855</v>
      </c>
      <c r="F882">
        <v>0</v>
      </c>
      <c r="G882" s="1">
        <v>42895</v>
      </c>
      <c r="H882" s="1">
        <v>42915</v>
      </c>
      <c r="I882" t="s">
        <v>15</v>
      </c>
      <c r="J882" s="2">
        <v>5631</v>
      </c>
      <c r="K882">
        <v>0</v>
      </c>
      <c r="L882" s="2">
        <v>5631</v>
      </c>
      <c r="M882">
        <v>-20</v>
      </c>
      <c r="N882" t="s">
        <v>406</v>
      </c>
    </row>
    <row r="883" spans="1:14" x14ac:dyDescent="0.25">
      <c r="A883" t="s">
        <v>452</v>
      </c>
      <c r="B883">
        <v>2006</v>
      </c>
      <c r="C883" s="1">
        <v>43049</v>
      </c>
      <c r="D883" t="s">
        <v>453</v>
      </c>
      <c r="E883" s="1">
        <v>43035</v>
      </c>
      <c r="F883">
        <v>0</v>
      </c>
      <c r="G883" s="1">
        <v>43049</v>
      </c>
      <c r="H883" s="1">
        <v>43069</v>
      </c>
      <c r="I883" t="s">
        <v>15</v>
      </c>
      <c r="J883">
        <v>125.66</v>
      </c>
      <c r="K883">
        <v>22.66</v>
      </c>
      <c r="L883">
        <v>103</v>
      </c>
      <c r="M883">
        <v>-20</v>
      </c>
      <c r="N883" t="s">
        <v>59</v>
      </c>
    </row>
    <row r="884" spans="1:14" x14ac:dyDescent="0.25">
      <c r="A884" t="s">
        <v>454</v>
      </c>
      <c r="B884">
        <v>1995</v>
      </c>
      <c r="C884" s="1">
        <v>43049</v>
      </c>
      <c r="D884" t="s">
        <v>455</v>
      </c>
      <c r="E884" s="1">
        <v>43027</v>
      </c>
      <c r="F884">
        <v>0</v>
      </c>
      <c r="G884" s="1">
        <v>43049</v>
      </c>
      <c r="H884" s="1">
        <v>43069</v>
      </c>
      <c r="I884" t="s">
        <v>15</v>
      </c>
      <c r="J884">
        <v>21.94</v>
      </c>
      <c r="K884">
        <v>3.96</v>
      </c>
      <c r="L884">
        <v>17.98</v>
      </c>
      <c r="M884">
        <v>-20</v>
      </c>
      <c r="N884" t="s">
        <v>18</v>
      </c>
    </row>
    <row r="885" spans="1:14" x14ac:dyDescent="0.25">
      <c r="A885" t="s">
        <v>454</v>
      </c>
      <c r="B885">
        <v>1994</v>
      </c>
      <c r="C885" s="1">
        <v>43049</v>
      </c>
      <c r="D885" t="s">
        <v>456</v>
      </c>
      <c r="E885" s="1">
        <v>43024</v>
      </c>
      <c r="F885">
        <v>0</v>
      </c>
      <c r="G885" s="1">
        <v>43049</v>
      </c>
      <c r="H885" s="1">
        <v>43069</v>
      </c>
      <c r="I885" t="s">
        <v>15</v>
      </c>
      <c r="J885">
        <v>278.06</v>
      </c>
      <c r="K885">
        <v>50.14</v>
      </c>
      <c r="L885">
        <v>227.92</v>
      </c>
      <c r="M885">
        <v>-20</v>
      </c>
      <c r="N885" t="s">
        <v>18</v>
      </c>
    </row>
    <row r="886" spans="1:14" x14ac:dyDescent="0.25">
      <c r="A886" t="s">
        <v>454</v>
      </c>
      <c r="B886">
        <v>1996</v>
      </c>
      <c r="C886" s="1">
        <v>43049</v>
      </c>
      <c r="D886" t="s">
        <v>455</v>
      </c>
      <c r="E886" s="1">
        <v>43027</v>
      </c>
      <c r="F886">
        <v>0</v>
      </c>
      <c r="G886" s="1">
        <v>43049</v>
      </c>
      <c r="H886" s="1">
        <v>43069</v>
      </c>
      <c r="I886" t="s">
        <v>15</v>
      </c>
      <c r="J886">
        <v>90.91</v>
      </c>
      <c r="K886">
        <v>16.39</v>
      </c>
      <c r="L886">
        <v>74.52</v>
      </c>
      <c r="M886">
        <v>-20</v>
      </c>
      <c r="N886" t="s">
        <v>18</v>
      </c>
    </row>
    <row r="887" spans="1:14" x14ac:dyDescent="0.25">
      <c r="A887" t="s">
        <v>280</v>
      </c>
      <c r="B887">
        <v>1986</v>
      </c>
      <c r="C887" s="1">
        <v>43049</v>
      </c>
      <c r="D887" t="s">
        <v>457</v>
      </c>
      <c r="E887" s="1">
        <v>43026</v>
      </c>
      <c r="F887">
        <v>0</v>
      </c>
      <c r="G887" s="1">
        <v>43049</v>
      </c>
      <c r="H887" s="1">
        <v>43069</v>
      </c>
      <c r="I887" t="s">
        <v>15</v>
      </c>
      <c r="J887">
        <v>266.39</v>
      </c>
      <c r="K887">
        <v>48.04</v>
      </c>
      <c r="L887">
        <v>218.35</v>
      </c>
      <c r="M887">
        <v>-20</v>
      </c>
      <c r="N887" t="s">
        <v>282</v>
      </c>
    </row>
    <row r="888" spans="1:14" x14ac:dyDescent="0.25">
      <c r="A888" t="s">
        <v>283</v>
      </c>
      <c r="B888">
        <v>2005</v>
      </c>
      <c r="C888" s="1">
        <v>43049</v>
      </c>
      <c r="D888" t="s">
        <v>458</v>
      </c>
      <c r="E888" s="1">
        <v>43039</v>
      </c>
      <c r="F888">
        <v>0</v>
      </c>
      <c r="G888" s="1">
        <v>43049</v>
      </c>
      <c r="H888" s="1">
        <v>43069</v>
      </c>
      <c r="I888" t="s">
        <v>15</v>
      </c>
      <c r="J888">
        <v>439.2</v>
      </c>
      <c r="K888">
        <v>79.2</v>
      </c>
      <c r="L888">
        <v>360</v>
      </c>
      <c r="M888">
        <v>-20</v>
      </c>
      <c r="N888" t="s">
        <v>129</v>
      </c>
    </row>
    <row r="889" spans="1:14" x14ac:dyDescent="0.25">
      <c r="A889" t="s">
        <v>135</v>
      </c>
      <c r="B889">
        <v>2004</v>
      </c>
      <c r="C889" s="1">
        <v>43049</v>
      </c>
      <c r="D889" t="str">
        <f>"97"</f>
        <v>97</v>
      </c>
      <c r="E889" s="1">
        <v>43036</v>
      </c>
      <c r="F889">
        <v>0</v>
      </c>
      <c r="G889" s="1">
        <v>43049</v>
      </c>
      <c r="H889" s="1">
        <v>43069</v>
      </c>
      <c r="I889" t="s">
        <v>15</v>
      </c>
      <c r="J889">
        <v>935.33</v>
      </c>
      <c r="K889">
        <v>168.67</v>
      </c>
      <c r="L889">
        <v>766.66</v>
      </c>
      <c r="M889">
        <v>-20</v>
      </c>
      <c r="N889" t="s">
        <v>136</v>
      </c>
    </row>
    <row r="890" spans="1:14" x14ac:dyDescent="0.25">
      <c r="A890" t="s">
        <v>326</v>
      </c>
      <c r="B890">
        <v>433</v>
      </c>
      <c r="C890" s="1">
        <v>42802</v>
      </c>
      <c r="D890" t="s">
        <v>120</v>
      </c>
      <c r="E890" s="1">
        <v>42766</v>
      </c>
      <c r="F890">
        <v>0</v>
      </c>
      <c r="G890" s="1">
        <v>42804</v>
      </c>
      <c r="H890" s="1">
        <v>42825</v>
      </c>
      <c r="I890" t="s">
        <v>15</v>
      </c>
      <c r="J890" s="2">
        <v>1781.09</v>
      </c>
      <c r="K890">
        <v>0</v>
      </c>
      <c r="L890" s="2">
        <v>1781.09</v>
      </c>
      <c r="M890">
        <v>-21</v>
      </c>
      <c r="N890" t="s">
        <v>72</v>
      </c>
    </row>
    <row r="891" spans="1:14" x14ac:dyDescent="0.25">
      <c r="A891" t="s">
        <v>404</v>
      </c>
      <c r="B891">
        <v>430</v>
      </c>
      <c r="C891" s="1">
        <v>42802</v>
      </c>
      <c r="D891" t="s">
        <v>459</v>
      </c>
      <c r="E891" s="1">
        <v>42766</v>
      </c>
      <c r="F891">
        <v>0</v>
      </c>
      <c r="G891" s="1">
        <v>42804</v>
      </c>
      <c r="H891" s="1">
        <v>42825</v>
      </c>
      <c r="I891" t="s">
        <v>15</v>
      </c>
      <c r="J891" s="2">
        <v>4925</v>
      </c>
      <c r="K891">
        <v>0</v>
      </c>
      <c r="L891" s="2">
        <v>4925</v>
      </c>
      <c r="M891">
        <v>-21</v>
      </c>
      <c r="N891" t="s">
        <v>460</v>
      </c>
    </row>
    <row r="892" spans="1:14" x14ac:dyDescent="0.25">
      <c r="A892" t="s">
        <v>461</v>
      </c>
      <c r="B892">
        <v>998</v>
      </c>
      <c r="C892" s="1">
        <v>42895</v>
      </c>
      <c r="D892" t="str">
        <f t="shared" ref="D892:D897" si="1">"4220417800017856"</f>
        <v>4220417800017856</v>
      </c>
      <c r="E892" s="1">
        <v>42831</v>
      </c>
      <c r="F892">
        <v>0</v>
      </c>
      <c r="G892" s="1">
        <v>42895</v>
      </c>
      <c r="H892" s="1">
        <v>42916</v>
      </c>
      <c r="I892" t="s">
        <v>15</v>
      </c>
      <c r="J892">
        <v>64.290000000000006</v>
      </c>
      <c r="K892">
        <v>11.59</v>
      </c>
      <c r="L892">
        <v>52.7</v>
      </c>
      <c r="M892">
        <v>-21</v>
      </c>
      <c r="N892" t="s">
        <v>72</v>
      </c>
    </row>
    <row r="893" spans="1:14" x14ac:dyDescent="0.25">
      <c r="A893" t="s">
        <v>461</v>
      </c>
      <c r="B893">
        <v>993</v>
      </c>
      <c r="C893" s="1">
        <v>42895</v>
      </c>
      <c r="D893" t="str">
        <f t="shared" si="1"/>
        <v>4220417800017856</v>
      </c>
      <c r="E893" s="1">
        <v>42831</v>
      </c>
      <c r="F893">
        <v>0</v>
      </c>
      <c r="G893" s="1">
        <v>42895</v>
      </c>
      <c r="H893" s="1">
        <v>42916</v>
      </c>
      <c r="I893" t="s">
        <v>15</v>
      </c>
      <c r="J893">
        <v>384.45</v>
      </c>
      <c r="K893">
        <v>69.33</v>
      </c>
      <c r="L893">
        <v>315.12</v>
      </c>
      <c r="M893">
        <v>-21</v>
      </c>
      <c r="N893" t="s">
        <v>72</v>
      </c>
    </row>
    <row r="894" spans="1:14" x14ac:dyDescent="0.25">
      <c r="A894" t="s">
        <v>461</v>
      </c>
      <c r="B894">
        <v>994</v>
      </c>
      <c r="C894" s="1">
        <v>42895</v>
      </c>
      <c r="D894" t="str">
        <f t="shared" si="1"/>
        <v>4220417800017856</v>
      </c>
      <c r="E894" s="1">
        <v>42831</v>
      </c>
      <c r="F894">
        <v>0</v>
      </c>
      <c r="G894" s="1">
        <v>42895</v>
      </c>
      <c r="H894" s="1">
        <v>42916</v>
      </c>
      <c r="I894" t="s">
        <v>15</v>
      </c>
      <c r="J894">
        <v>871.68</v>
      </c>
      <c r="K894">
        <v>157.19</v>
      </c>
      <c r="L894">
        <v>714.49</v>
      </c>
      <c r="M894">
        <v>-21</v>
      </c>
      <c r="N894" t="s">
        <v>72</v>
      </c>
    </row>
    <row r="895" spans="1:14" x14ac:dyDescent="0.25">
      <c r="A895" t="s">
        <v>461</v>
      </c>
      <c r="B895">
        <v>997</v>
      </c>
      <c r="C895" s="1">
        <v>42895</v>
      </c>
      <c r="D895" t="str">
        <f t="shared" si="1"/>
        <v>4220417800017856</v>
      </c>
      <c r="E895" s="1">
        <v>42831</v>
      </c>
      <c r="F895">
        <v>0</v>
      </c>
      <c r="G895" s="1">
        <v>42895</v>
      </c>
      <c r="H895" s="1">
        <v>42916</v>
      </c>
      <c r="I895" t="s">
        <v>15</v>
      </c>
      <c r="J895">
        <v>281.12</v>
      </c>
      <c r="K895">
        <v>50.69</v>
      </c>
      <c r="L895">
        <v>230.43</v>
      </c>
      <c r="M895">
        <v>-21</v>
      </c>
      <c r="N895" t="s">
        <v>72</v>
      </c>
    </row>
    <row r="896" spans="1:14" x14ac:dyDescent="0.25">
      <c r="A896" t="s">
        <v>461</v>
      </c>
      <c r="B896">
        <v>996</v>
      </c>
      <c r="C896" s="1">
        <v>42895</v>
      </c>
      <c r="D896" t="str">
        <f t="shared" si="1"/>
        <v>4220417800017856</v>
      </c>
      <c r="E896" s="1">
        <v>42831</v>
      </c>
      <c r="F896">
        <v>0</v>
      </c>
      <c r="G896" s="1">
        <v>42895</v>
      </c>
      <c r="H896" s="1">
        <v>42916</v>
      </c>
      <c r="I896" t="s">
        <v>15</v>
      </c>
      <c r="J896">
        <v>169.75</v>
      </c>
      <c r="K896">
        <v>30.61</v>
      </c>
      <c r="L896">
        <v>139.13999999999999</v>
      </c>
      <c r="M896">
        <v>-21</v>
      </c>
      <c r="N896" t="s">
        <v>72</v>
      </c>
    </row>
    <row r="897" spans="1:14" x14ac:dyDescent="0.25">
      <c r="A897" t="s">
        <v>461</v>
      </c>
      <c r="B897">
        <v>995</v>
      </c>
      <c r="C897" s="1">
        <v>42895</v>
      </c>
      <c r="D897" t="str">
        <f t="shared" si="1"/>
        <v>4220417800017856</v>
      </c>
      <c r="E897" s="1">
        <v>42831</v>
      </c>
      <c r="F897">
        <v>0</v>
      </c>
      <c r="G897" s="1">
        <v>42895</v>
      </c>
      <c r="H897" s="1">
        <v>42916</v>
      </c>
      <c r="I897" t="s">
        <v>15</v>
      </c>
      <c r="J897">
        <v>142.27000000000001</v>
      </c>
      <c r="K897">
        <v>25.66</v>
      </c>
      <c r="L897">
        <v>116.61</v>
      </c>
      <c r="M897">
        <v>-21</v>
      </c>
      <c r="N897" t="s">
        <v>72</v>
      </c>
    </row>
    <row r="898" spans="1:14" x14ac:dyDescent="0.25">
      <c r="A898" t="s">
        <v>462</v>
      </c>
      <c r="B898">
        <v>764</v>
      </c>
      <c r="C898" s="1">
        <v>42849</v>
      </c>
      <c r="D898" t="s">
        <v>463</v>
      </c>
      <c r="E898" s="1">
        <v>42840</v>
      </c>
      <c r="F898">
        <v>0</v>
      </c>
      <c r="G898" s="1">
        <v>42849</v>
      </c>
      <c r="H898" s="1">
        <v>42870</v>
      </c>
      <c r="I898" t="s">
        <v>15</v>
      </c>
      <c r="J898">
        <v>793</v>
      </c>
      <c r="K898">
        <v>143</v>
      </c>
      <c r="L898">
        <v>650</v>
      </c>
      <c r="M898">
        <v>-21</v>
      </c>
      <c r="N898" t="s">
        <v>287</v>
      </c>
    </row>
    <row r="899" spans="1:14" x14ac:dyDescent="0.25">
      <c r="A899" t="s">
        <v>37</v>
      </c>
      <c r="B899">
        <v>435</v>
      </c>
      <c r="C899" s="1">
        <v>42802</v>
      </c>
      <c r="D899" t="s">
        <v>464</v>
      </c>
      <c r="E899" s="1">
        <v>42766</v>
      </c>
      <c r="F899">
        <v>0</v>
      </c>
      <c r="G899" s="1">
        <v>42804</v>
      </c>
      <c r="H899" s="1">
        <v>42825</v>
      </c>
      <c r="I899" t="s">
        <v>15</v>
      </c>
      <c r="J899" s="2">
        <v>8513.2999999999993</v>
      </c>
      <c r="K899">
        <v>327.43</v>
      </c>
      <c r="L899" s="2">
        <v>8185.87</v>
      </c>
      <c r="M899">
        <v>-21</v>
      </c>
      <c r="N899" t="s">
        <v>39</v>
      </c>
    </row>
    <row r="900" spans="1:14" x14ac:dyDescent="0.25">
      <c r="A900" t="s">
        <v>37</v>
      </c>
      <c r="B900">
        <v>435</v>
      </c>
      <c r="C900" s="1">
        <v>42802</v>
      </c>
      <c r="D900" t="s">
        <v>465</v>
      </c>
      <c r="E900" s="1">
        <v>42766</v>
      </c>
      <c r="F900">
        <v>0</v>
      </c>
      <c r="G900" s="1">
        <v>42804</v>
      </c>
      <c r="H900" s="1">
        <v>42825</v>
      </c>
      <c r="I900" t="s">
        <v>15</v>
      </c>
      <c r="J900">
        <v>50.86</v>
      </c>
      <c r="K900">
        <v>4.62</v>
      </c>
      <c r="L900">
        <v>46.24</v>
      </c>
      <c r="M900">
        <v>-21</v>
      </c>
      <c r="N900" t="s">
        <v>39</v>
      </c>
    </row>
    <row r="901" spans="1:14" x14ac:dyDescent="0.25">
      <c r="A901" t="s">
        <v>280</v>
      </c>
      <c r="B901">
        <v>1028</v>
      </c>
      <c r="C901" s="1">
        <v>42895</v>
      </c>
      <c r="D901" t="s">
        <v>466</v>
      </c>
      <c r="E901" s="1">
        <v>42866</v>
      </c>
      <c r="F901">
        <v>0</v>
      </c>
      <c r="G901" s="1">
        <v>42895</v>
      </c>
      <c r="H901" s="1">
        <v>42916</v>
      </c>
      <c r="I901" t="s">
        <v>15</v>
      </c>
      <c r="J901">
        <v>189.89</v>
      </c>
      <c r="K901">
        <v>34.24</v>
      </c>
      <c r="L901">
        <v>155.65</v>
      </c>
      <c r="M901">
        <v>-21</v>
      </c>
      <c r="N901" t="s">
        <v>282</v>
      </c>
    </row>
    <row r="902" spans="1:14" x14ac:dyDescent="0.25">
      <c r="A902" t="s">
        <v>283</v>
      </c>
      <c r="B902">
        <v>557</v>
      </c>
      <c r="C902" s="1">
        <v>42821</v>
      </c>
      <c r="D902" s="4">
        <v>42795</v>
      </c>
      <c r="E902" s="1">
        <v>42811</v>
      </c>
      <c r="F902">
        <v>0</v>
      </c>
      <c r="G902" s="1">
        <v>42821</v>
      </c>
      <c r="H902" s="1">
        <v>42842</v>
      </c>
      <c r="I902" t="s">
        <v>15</v>
      </c>
      <c r="J902" s="2">
        <v>9740.48</v>
      </c>
      <c r="K902" s="2">
        <v>1756.48</v>
      </c>
      <c r="L902" s="2">
        <v>7984</v>
      </c>
      <c r="M902">
        <v>-21</v>
      </c>
      <c r="N902" t="s">
        <v>129</v>
      </c>
    </row>
    <row r="903" spans="1:14" x14ac:dyDescent="0.25">
      <c r="A903" t="s">
        <v>284</v>
      </c>
      <c r="B903">
        <v>1430</v>
      </c>
      <c r="C903" s="1">
        <v>42956</v>
      </c>
      <c r="D903" t="str">
        <f>"1700171"</f>
        <v>1700171</v>
      </c>
      <c r="E903" s="1">
        <v>42947</v>
      </c>
      <c r="F903">
        <v>0</v>
      </c>
      <c r="G903" s="1">
        <v>42957</v>
      </c>
      <c r="H903" s="1">
        <v>42978</v>
      </c>
      <c r="I903" t="s">
        <v>15</v>
      </c>
      <c r="J903">
        <v>12.6</v>
      </c>
      <c r="K903">
        <v>2.27</v>
      </c>
      <c r="L903">
        <v>10.33</v>
      </c>
      <c r="M903">
        <v>-21</v>
      </c>
      <c r="N903" t="s">
        <v>285</v>
      </c>
    </row>
    <row r="904" spans="1:14" x14ac:dyDescent="0.25">
      <c r="A904" t="s">
        <v>284</v>
      </c>
      <c r="B904">
        <v>1429</v>
      </c>
      <c r="C904" s="1">
        <v>42956</v>
      </c>
      <c r="D904" t="str">
        <f>"1700171"</f>
        <v>1700171</v>
      </c>
      <c r="E904" s="1">
        <v>42947</v>
      </c>
      <c r="F904">
        <v>0</v>
      </c>
      <c r="G904" s="1">
        <v>42957</v>
      </c>
      <c r="H904" s="1">
        <v>42978</v>
      </c>
      <c r="I904" t="s">
        <v>15</v>
      </c>
      <c r="J904">
        <v>573</v>
      </c>
      <c r="K904">
        <v>103.33</v>
      </c>
      <c r="L904">
        <v>469.67</v>
      </c>
      <c r="M904">
        <v>-21</v>
      </c>
      <c r="N904" t="s">
        <v>285</v>
      </c>
    </row>
    <row r="905" spans="1:14" x14ac:dyDescent="0.25">
      <c r="A905" t="s">
        <v>135</v>
      </c>
      <c r="B905">
        <v>1027</v>
      </c>
      <c r="C905" s="1">
        <v>42895</v>
      </c>
      <c r="D905" t="str">
        <f>"48"</f>
        <v>48</v>
      </c>
      <c r="E905" s="1">
        <v>42885</v>
      </c>
      <c r="F905">
        <v>0</v>
      </c>
      <c r="G905" s="1">
        <v>42895</v>
      </c>
      <c r="H905" s="1">
        <v>42916</v>
      </c>
      <c r="I905" t="s">
        <v>15</v>
      </c>
      <c r="J905">
        <v>935.33</v>
      </c>
      <c r="K905">
        <v>168.67</v>
      </c>
      <c r="L905">
        <v>766.66</v>
      </c>
      <c r="M905">
        <v>-21</v>
      </c>
      <c r="N905" t="s">
        <v>136</v>
      </c>
    </row>
    <row r="906" spans="1:14" x14ac:dyDescent="0.25">
      <c r="A906" t="s">
        <v>135</v>
      </c>
      <c r="B906">
        <v>446</v>
      </c>
      <c r="C906" s="1">
        <v>42802</v>
      </c>
      <c r="D906" t="str">
        <f>"12"</f>
        <v>12</v>
      </c>
      <c r="E906" s="1">
        <v>42794</v>
      </c>
      <c r="F906">
        <v>0</v>
      </c>
      <c r="G906" s="1">
        <v>42804</v>
      </c>
      <c r="H906" s="1">
        <v>42825</v>
      </c>
      <c r="I906" t="s">
        <v>15</v>
      </c>
      <c r="J906" s="2">
        <v>1325.03</v>
      </c>
      <c r="K906">
        <v>238.94</v>
      </c>
      <c r="L906" s="2">
        <v>1086.0899999999999</v>
      </c>
      <c r="M906">
        <v>-21</v>
      </c>
      <c r="N906" t="s">
        <v>136</v>
      </c>
    </row>
    <row r="907" spans="1:14" x14ac:dyDescent="0.25">
      <c r="A907" t="s">
        <v>135</v>
      </c>
      <c r="B907">
        <v>1424</v>
      </c>
      <c r="C907" s="1">
        <v>42956</v>
      </c>
      <c r="D907" t="str">
        <f>"67"</f>
        <v>67</v>
      </c>
      <c r="E907" s="1">
        <v>42941</v>
      </c>
      <c r="F907">
        <v>0</v>
      </c>
      <c r="G907" s="1">
        <v>42957</v>
      </c>
      <c r="H907" s="1">
        <v>42978</v>
      </c>
      <c r="I907" t="s">
        <v>15</v>
      </c>
      <c r="J907">
        <v>935.33</v>
      </c>
      <c r="K907">
        <v>168.67</v>
      </c>
      <c r="L907">
        <v>766.66</v>
      </c>
      <c r="M907">
        <v>-21</v>
      </c>
      <c r="N907" t="s">
        <v>136</v>
      </c>
    </row>
    <row r="908" spans="1:14" x14ac:dyDescent="0.25">
      <c r="A908" t="s">
        <v>467</v>
      </c>
      <c r="B908">
        <v>1034</v>
      </c>
      <c r="C908" s="1">
        <v>42895</v>
      </c>
      <c r="D908" t="s">
        <v>468</v>
      </c>
      <c r="E908" s="1">
        <v>42886</v>
      </c>
      <c r="F908">
        <v>0</v>
      </c>
      <c r="G908" s="1">
        <v>42895</v>
      </c>
      <c r="H908" s="1">
        <v>42916</v>
      </c>
      <c r="I908" t="s">
        <v>15</v>
      </c>
      <c r="J908" s="2">
        <v>3698.88</v>
      </c>
      <c r="K908">
        <v>0</v>
      </c>
      <c r="L908" s="2">
        <v>3698.88</v>
      </c>
      <c r="M908">
        <v>-21</v>
      </c>
      <c r="N908" t="s">
        <v>59</v>
      </c>
    </row>
    <row r="909" spans="1:14" x14ac:dyDescent="0.25">
      <c r="A909" t="s">
        <v>424</v>
      </c>
      <c r="B909">
        <v>1632</v>
      </c>
      <c r="C909" s="1">
        <v>42993</v>
      </c>
      <c r="D909" t="s">
        <v>469</v>
      </c>
      <c r="E909" s="1">
        <v>42947</v>
      </c>
      <c r="F909">
        <v>0</v>
      </c>
      <c r="G909" s="1">
        <v>42993</v>
      </c>
      <c r="H909" s="1">
        <v>43014</v>
      </c>
      <c r="I909" t="s">
        <v>15</v>
      </c>
      <c r="J909">
        <v>99</v>
      </c>
      <c r="K909">
        <v>3.81</v>
      </c>
      <c r="L909">
        <v>95.19</v>
      </c>
      <c r="M909">
        <v>-21</v>
      </c>
      <c r="N909" t="s">
        <v>78</v>
      </c>
    </row>
    <row r="910" spans="1:14" x14ac:dyDescent="0.25">
      <c r="A910" t="s">
        <v>470</v>
      </c>
      <c r="B910">
        <v>1631</v>
      </c>
      <c r="C910" s="1">
        <v>42993</v>
      </c>
      <c r="D910" t="str">
        <f>"15"</f>
        <v>15</v>
      </c>
      <c r="E910" s="1">
        <v>42954</v>
      </c>
      <c r="F910">
        <v>0</v>
      </c>
      <c r="G910" s="1">
        <v>42993</v>
      </c>
      <c r="H910" s="1">
        <v>43015</v>
      </c>
      <c r="I910" t="s">
        <v>23</v>
      </c>
      <c r="J910" s="2">
        <v>1776.32</v>
      </c>
      <c r="K910">
        <v>320.32</v>
      </c>
      <c r="L910" s="2">
        <v>1456</v>
      </c>
      <c r="M910">
        <v>-22</v>
      </c>
      <c r="N910" t="s">
        <v>20</v>
      </c>
    </row>
    <row r="911" spans="1:14" x14ac:dyDescent="0.25">
      <c r="A911" t="s">
        <v>180</v>
      </c>
      <c r="B911">
        <v>2292</v>
      </c>
      <c r="C911" s="1">
        <v>43081</v>
      </c>
      <c r="D911" t="str">
        <f>"267"</f>
        <v>267</v>
      </c>
      <c r="E911" s="1">
        <v>43069</v>
      </c>
      <c r="F911">
        <v>0</v>
      </c>
      <c r="G911" s="1">
        <v>43081</v>
      </c>
      <c r="H911" s="1">
        <v>43103</v>
      </c>
      <c r="I911" t="s">
        <v>15</v>
      </c>
      <c r="J911">
        <v>629.82000000000005</v>
      </c>
      <c r="K911">
        <v>113.57</v>
      </c>
      <c r="L911">
        <v>516.25</v>
      </c>
      <c r="M911">
        <v>-22</v>
      </c>
      <c r="N911" t="s">
        <v>66</v>
      </c>
    </row>
    <row r="912" spans="1:14" x14ac:dyDescent="0.25">
      <c r="A912" t="s">
        <v>180</v>
      </c>
      <c r="B912">
        <v>2294</v>
      </c>
      <c r="C912" s="1">
        <v>43081</v>
      </c>
      <c r="D912" t="str">
        <f>"267"</f>
        <v>267</v>
      </c>
      <c r="E912" s="1">
        <v>43069</v>
      </c>
      <c r="F912">
        <v>0</v>
      </c>
      <c r="G912" s="1">
        <v>43081</v>
      </c>
      <c r="H912" s="1">
        <v>43103</v>
      </c>
      <c r="I912" t="s">
        <v>15</v>
      </c>
      <c r="J912">
        <v>88</v>
      </c>
      <c r="K912">
        <v>15.87</v>
      </c>
      <c r="L912">
        <v>72.13</v>
      </c>
      <c r="M912">
        <v>-22</v>
      </c>
      <c r="N912" t="s">
        <v>66</v>
      </c>
    </row>
    <row r="913" spans="1:14" x14ac:dyDescent="0.25">
      <c r="A913" t="s">
        <v>180</v>
      </c>
      <c r="B913">
        <v>2295</v>
      </c>
      <c r="C913" s="1">
        <v>43081</v>
      </c>
      <c r="D913" t="str">
        <f>"267"</f>
        <v>267</v>
      </c>
      <c r="E913" s="1">
        <v>43069</v>
      </c>
      <c r="F913">
        <v>0</v>
      </c>
      <c r="G913" s="1">
        <v>43081</v>
      </c>
      <c r="H913" s="1">
        <v>43103</v>
      </c>
      <c r="I913" t="s">
        <v>15</v>
      </c>
      <c r="J913">
        <v>833</v>
      </c>
      <c r="K913">
        <v>150.22</v>
      </c>
      <c r="L913">
        <v>682.78</v>
      </c>
      <c r="M913">
        <v>-22</v>
      </c>
      <c r="N913" t="s">
        <v>66</v>
      </c>
    </row>
    <row r="914" spans="1:14" x14ac:dyDescent="0.25">
      <c r="A914" t="s">
        <v>180</v>
      </c>
      <c r="B914">
        <v>1183</v>
      </c>
      <c r="C914" s="1">
        <v>42913</v>
      </c>
      <c r="D914" t="str">
        <f>"132"</f>
        <v>132</v>
      </c>
      <c r="E914" s="1">
        <v>42899</v>
      </c>
      <c r="F914">
        <v>0</v>
      </c>
      <c r="G914" s="1">
        <v>42914</v>
      </c>
      <c r="H914" s="1">
        <v>42936</v>
      </c>
      <c r="I914" t="s">
        <v>15</v>
      </c>
      <c r="J914">
        <v>445.3</v>
      </c>
      <c r="K914">
        <v>80.3</v>
      </c>
      <c r="L914">
        <v>365</v>
      </c>
      <c r="M914">
        <v>-22</v>
      </c>
      <c r="N914" t="s">
        <v>66</v>
      </c>
    </row>
    <row r="915" spans="1:14" x14ac:dyDescent="0.25">
      <c r="A915" t="s">
        <v>180</v>
      </c>
      <c r="B915">
        <v>2293</v>
      </c>
      <c r="C915" s="1">
        <v>43081</v>
      </c>
      <c r="D915" t="str">
        <f>"267"</f>
        <v>267</v>
      </c>
      <c r="E915" s="1">
        <v>43069</v>
      </c>
      <c r="F915">
        <v>0</v>
      </c>
      <c r="G915" s="1">
        <v>43081</v>
      </c>
      <c r="H915" s="1">
        <v>43103</v>
      </c>
      <c r="I915" t="s">
        <v>15</v>
      </c>
      <c r="J915">
        <v>100</v>
      </c>
      <c r="K915">
        <v>18.03</v>
      </c>
      <c r="L915">
        <v>81.97</v>
      </c>
      <c r="M915">
        <v>-22</v>
      </c>
      <c r="N915" t="s">
        <v>66</v>
      </c>
    </row>
    <row r="916" spans="1:14" x14ac:dyDescent="0.25">
      <c r="A916" t="s">
        <v>407</v>
      </c>
      <c r="B916">
        <v>2056</v>
      </c>
      <c r="C916" s="1">
        <v>43054</v>
      </c>
      <c r="D916" t="str">
        <f>"19902071"</f>
        <v>19902071</v>
      </c>
      <c r="E916" s="1">
        <v>43076</v>
      </c>
      <c r="F916">
        <v>0</v>
      </c>
      <c r="G916" s="1">
        <v>43054</v>
      </c>
      <c r="H916" s="1">
        <v>43076</v>
      </c>
      <c r="I916" t="s">
        <v>15</v>
      </c>
      <c r="J916">
        <v>600</v>
      </c>
      <c r="K916">
        <v>0</v>
      </c>
      <c r="L916">
        <v>600</v>
      </c>
      <c r="M916">
        <v>-22</v>
      </c>
      <c r="N916" t="s">
        <v>145</v>
      </c>
    </row>
    <row r="917" spans="1:14" x14ac:dyDescent="0.25">
      <c r="A917" t="s">
        <v>407</v>
      </c>
      <c r="B917">
        <v>2058</v>
      </c>
      <c r="C917" s="1">
        <v>43054</v>
      </c>
      <c r="D917" t="str">
        <f>"19902071"</f>
        <v>19902071</v>
      </c>
      <c r="E917" s="1">
        <v>43076</v>
      </c>
      <c r="F917">
        <v>0</v>
      </c>
      <c r="G917" s="1">
        <v>43054</v>
      </c>
      <c r="H917" s="1">
        <v>43076</v>
      </c>
      <c r="I917" t="s">
        <v>15</v>
      </c>
      <c r="J917" s="2">
        <v>1350</v>
      </c>
      <c r="K917">
        <v>0</v>
      </c>
      <c r="L917" s="2">
        <v>1350</v>
      </c>
      <c r="M917">
        <v>-22</v>
      </c>
      <c r="N917" t="s">
        <v>145</v>
      </c>
    </row>
    <row r="918" spans="1:14" x14ac:dyDescent="0.25">
      <c r="A918" t="s">
        <v>407</v>
      </c>
      <c r="B918">
        <v>2057</v>
      </c>
      <c r="C918" s="1">
        <v>43054</v>
      </c>
      <c r="D918" t="str">
        <f>"19902071"</f>
        <v>19902071</v>
      </c>
      <c r="E918" s="1">
        <v>43076</v>
      </c>
      <c r="F918">
        <v>0</v>
      </c>
      <c r="G918" s="1">
        <v>43054</v>
      </c>
      <c r="H918" s="1">
        <v>43076</v>
      </c>
      <c r="I918" t="s">
        <v>15</v>
      </c>
      <c r="J918">
        <v>600</v>
      </c>
      <c r="K918">
        <v>0</v>
      </c>
      <c r="L918">
        <v>600</v>
      </c>
      <c r="M918">
        <v>-22</v>
      </c>
      <c r="N918" t="s">
        <v>145</v>
      </c>
    </row>
    <row r="919" spans="1:14" x14ac:dyDescent="0.25">
      <c r="A919" t="s">
        <v>471</v>
      </c>
      <c r="B919">
        <v>1434</v>
      </c>
      <c r="C919" s="1">
        <v>42956</v>
      </c>
      <c r="D919" t="s">
        <v>472</v>
      </c>
      <c r="E919" s="1">
        <v>42948</v>
      </c>
      <c r="F919">
        <v>0</v>
      </c>
      <c r="G919" s="1">
        <v>42957</v>
      </c>
      <c r="H919" s="1">
        <v>42979</v>
      </c>
      <c r="I919" t="s">
        <v>15</v>
      </c>
      <c r="J919" s="2">
        <v>4452.66</v>
      </c>
      <c r="K919">
        <v>802.94</v>
      </c>
      <c r="L919" s="2">
        <v>3649.72</v>
      </c>
      <c r="M919">
        <v>-22</v>
      </c>
      <c r="N919" t="s">
        <v>24</v>
      </c>
    </row>
    <row r="920" spans="1:14" x14ac:dyDescent="0.25">
      <c r="A920" t="s">
        <v>31</v>
      </c>
      <c r="B920">
        <v>1760</v>
      </c>
      <c r="C920" s="1">
        <v>43007</v>
      </c>
      <c r="D920" t="s">
        <v>473</v>
      </c>
      <c r="E920" s="1">
        <v>43003</v>
      </c>
      <c r="F920">
        <v>0</v>
      </c>
      <c r="G920" s="1">
        <v>43010</v>
      </c>
      <c r="H920" s="1">
        <v>43033</v>
      </c>
      <c r="I920" t="s">
        <v>15</v>
      </c>
      <c r="J920" s="2">
        <v>2095.5</v>
      </c>
      <c r="K920">
        <v>99.79</v>
      </c>
      <c r="L920" s="2">
        <v>1995.71</v>
      </c>
      <c r="M920">
        <v>-23</v>
      </c>
      <c r="N920" t="s">
        <v>33</v>
      </c>
    </row>
    <row r="921" spans="1:14" x14ac:dyDescent="0.25">
      <c r="A921" t="s">
        <v>31</v>
      </c>
      <c r="B921">
        <v>1761</v>
      </c>
      <c r="C921" s="1">
        <v>43007</v>
      </c>
      <c r="D921" t="s">
        <v>474</v>
      </c>
      <c r="E921" s="1">
        <v>43003</v>
      </c>
      <c r="F921">
        <v>0</v>
      </c>
      <c r="G921" s="1">
        <v>43010</v>
      </c>
      <c r="H921" s="1">
        <v>43033</v>
      </c>
      <c r="I921" t="s">
        <v>15</v>
      </c>
      <c r="J921">
        <v>10.53</v>
      </c>
      <c r="K921">
        <v>0.5</v>
      </c>
      <c r="L921">
        <v>10.029999999999999</v>
      </c>
      <c r="M921">
        <v>-23</v>
      </c>
      <c r="N921" t="s">
        <v>33</v>
      </c>
    </row>
    <row r="922" spans="1:14" x14ac:dyDescent="0.25">
      <c r="A922" t="s">
        <v>70</v>
      </c>
      <c r="B922">
        <v>645</v>
      </c>
      <c r="C922" s="1">
        <v>42832</v>
      </c>
      <c r="D922" t="s">
        <v>475</v>
      </c>
      <c r="E922" s="1">
        <v>42825</v>
      </c>
      <c r="F922">
        <v>0</v>
      </c>
      <c r="G922" s="1">
        <v>42832</v>
      </c>
      <c r="H922" s="1">
        <v>42855</v>
      </c>
      <c r="I922" t="s">
        <v>15</v>
      </c>
      <c r="J922">
        <v>110</v>
      </c>
      <c r="K922">
        <v>19.84</v>
      </c>
      <c r="L922">
        <v>90.16</v>
      </c>
      <c r="M922">
        <v>-23</v>
      </c>
      <c r="N922" t="s">
        <v>52</v>
      </c>
    </row>
    <row r="923" spans="1:14" x14ac:dyDescent="0.25">
      <c r="A923" t="s">
        <v>70</v>
      </c>
      <c r="B923">
        <v>642</v>
      </c>
      <c r="C923" s="1">
        <v>42832</v>
      </c>
      <c r="D923" t="s">
        <v>475</v>
      </c>
      <c r="E923" s="1">
        <v>42825</v>
      </c>
      <c r="F923">
        <v>0</v>
      </c>
      <c r="G923" s="1">
        <v>42832</v>
      </c>
      <c r="H923" s="1">
        <v>42855</v>
      </c>
      <c r="I923" t="s">
        <v>15</v>
      </c>
      <c r="J923">
        <v>900</v>
      </c>
      <c r="K923">
        <v>162.30000000000001</v>
      </c>
      <c r="L923">
        <v>737.7</v>
      </c>
      <c r="M923">
        <v>-23</v>
      </c>
      <c r="N923" t="s">
        <v>52</v>
      </c>
    </row>
    <row r="924" spans="1:14" x14ac:dyDescent="0.25">
      <c r="A924" t="s">
        <v>70</v>
      </c>
      <c r="B924">
        <v>640</v>
      </c>
      <c r="C924" s="1">
        <v>42832</v>
      </c>
      <c r="D924" t="s">
        <v>475</v>
      </c>
      <c r="E924" s="1">
        <v>42825</v>
      </c>
      <c r="F924">
        <v>0</v>
      </c>
      <c r="G924" s="1">
        <v>42832</v>
      </c>
      <c r="H924" s="1">
        <v>42855</v>
      </c>
      <c r="I924" t="s">
        <v>15</v>
      </c>
      <c r="J924" s="2">
        <v>1190</v>
      </c>
      <c r="K924">
        <v>214.59</v>
      </c>
      <c r="L924">
        <v>975.41</v>
      </c>
      <c r="M924">
        <v>-23</v>
      </c>
      <c r="N924" t="s">
        <v>52</v>
      </c>
    </row>
    <row r="925" spans="1:14" x14ac:dyDescent="0.25">
      <c r="A925" t="s">
        <v>70</v>
      </c>
      <c r="B925">
        <v>644</v>
      </c>
      <c r="C925" s="1">
        <v>42832</v>
      </c>
      <c r="D925" t="s">
        <v>475</v>
      </c>
      <c r="E925" s="1">
        <v>42825</v>
      </c>
      <c r="F925">
        <v>0</v>
      </c>
      <c r="G925" s="1">
        <v>42832</v>
      </c>
      <c r="H925" s="1">
        <v>42855</v>
      </c>
      <c r="I925" t="s">
        <v>15</v>
      </c>
      <c r="J925">
        <v>600</v>
      </c>
      <c r="K925">
        <v>108.19</v>
      </c>
      <c r="L925">
        <v>491.81</v>
      </c>
      <c r="M925">
        <v>-23</v>
      </c>
      <c r="N925" t="s">
        <v>52</v>
      </c>
    </row>
    <row r="926" spans="1:14" x14ac:dyDescent="0.25">
      <c r="A926" t="s">
        <v>70</v>
      </c>
      <c r="B926">
        <v>643</v>
      </c>
      <c r="C926" s="1">
        <v>42832</v>
      </c>
      <c r="D926" t="s">
        <v>22</v>
      </c>
      <c r="E926" s="1">
        <v>42825</v>
      </c>
      <c r="F926">
        <v>0</v>
      </c>
      <c r="G926" s="1">
        <v>42832</v>
      </c>
      <c r="H926" s="1">
        <v>42855</v>
      </c>
      <c r="I926" t="s">
        <v>15</v>
      </c>
      <c r="J926">
        <v>585.6</v>
      </c>
      <c r="K926">
        <v>105.6</v>
      </c>
      <c r="L926">
        <v>480</v>
      </c>
      <c r="M926">
        <v>-23</v>
      </c>
      <c r="N926" t="s">
        <v>52</v>
      </c>
    </row>
    <row r="927" spans="1:14" x14ac:dyDescent="0.25">
      <c r="A927" t="s">
        <v>70</v>
      </c>
      <c r="B927">
        <v>641</v>
      </c>
      <c r="C927" s="1">
        <v>42832</v>
      </c>
      <c r="D927" t="s">
        <v>475</v>
      </c>
      <c r="E927" s="1">
        <v>42825</v>
      </c>
      <c r="F927">
        <v>0</v>
      </c>
      <c r="G927" s="1">
        <v>42832</v>
      </c>
      <c r="H927" s="1">
        <v>42855</v>
      </c>
      <c r="I927" t="s">
        <v>15</v>
      </c>
      <c r="J927">
        <v>400</v>
      </c>
      <c r="K927">
        <v>72.13</v>
      </c>
      <c r="L927">
        <v>327.87</v>
      </c>
      <c r="M927">
        <v>-23</v>
      </c>
      <c r="N927" t="s">
        <v>52</v>
      </c>
    </row>
    <row r="928" spans="1:14" x14ac:dyDescent="0.25">
      <c r="A928" t="s">
        <v>404</v>
      </c>
      <c r="B928">
        <v>602</v>
      </c>
      <c r="C928" s="1">
        <v>42830</v>
      </c>
      <c r="D928" t="s">
        <v>476</v>
      </c>
      <c r="E928" s="1">
        <v>42794</v>
      </c>
      <c r="F928">
        <v>0</v>
      </c>
      <c r="G928" s="1">
        <v>42832</v>
      </c>
      <c r="H928" s="1">
        <v>42855</v>
      </c>
      <c r="I928" t="s">
        <v>15</v>
      </c>
      <c r="J928" s="2">
        <v>3849.5</v>
      </c>
      <c r="K928">
        <v>0</v>
      </c>
      <c r="L928" s="2">
        <v>3849.5</v>
      </c>
      <c r="M928">
        <v>-23</v>
      </c>
      <c r="N928" t="s">
        <v>406</v>
      </c>
    </row>
    <row r="929" spans="1:14" x14ac:dyDescent="0.25">
      <c r="A929" t="s">
        <v>99</v>
      </c>
      <c r="B929">
        <v>1822</v>
      </c>
      <c r="C929" s="1">
        <v>43014</v>
      </c>
      <c r="D929" t="s">
        <v>477</v>
      </c>
      <c r="E929" s="1">
        <v>43007</v>
      </c>
      <c r="F929">
        <v>0</v>
      </c>
      <c r="G929" s="1">
        <v>43014</v>
      </c>
      <c r="H929" s="1">
        <v>43037</v>
      </c>
      <c r="I929" t="s">
        <v>15</v>
      </c>
      <c r="J929">
        <v>607.55999999999995</v>
      </c>
      <c r="K929">
        <v>109.56</v>
      </c>
      <c r="L929">
        <v>498</v>
      </c>
      <c r="M929">
        <v>-23</v>
      </c>
      <c r="N929" t="s">
        <v>20</v>
      </c>
    </row>
    <row r="930" spans="1:14" x14ac:dyDescent="0.25">
      <c r="A930" t="s">
        <v>280</v>
      </c>
      <c r="B930">
        <v>596</v>
      </c>
      <c r="C930" s="1">
        <v>42830</v>
      </c>
      <c r="D930" t="s">
        <v>478</v>
      </c>
      <c r="E930" s="1">
        <v>42808</v>
      </c>
      <c r="F930">
        <v>0</v>
      </c>
      <c r="G930" s="1">
        <v>42832</v>
      </c>
      <c r="H930" s="1">
        <v>42855</v>
      </c>
      <c r="I930" t="s">
        <v>15</v>
      </c>
      <c r="J930">
        <v>244.24</v>
      </c>
      <c r="K930">
        <v>44.04</v>
      </c>
      <c r="L930">
        <v>200.2</v>
      </c>
      <c r="M930">
        <v>-23</v>
      </c>
      <c r="N930" t="s">
        <v>282</v>
      </c>
    </row>
    <row r="931" spans="1:14" x14ac:dyDescent="0.25">
      <c r="A931" t="s">
        <v>283</v>
      </c>
      <c r="B931">
        <v>1241</v>
      </c>
      <c r="C931" s="1">
        <v>42922</v>
      </c>
      <c r="D931" s="4">
        <v>42917</v>
      </c>
      <c r="E931" s="1">
        <v>42916</v>
      </c>
      <c r="F931">
        <v>0</v>
      </c>
      <c r="G931" s="1">
        <v>42923</v>
      </c>
      <c r="H931" s="1">
        <v>42946</v>
      </c>
      <c r="I931" t="s">
        <v>15</v>
      </c>
      <c r="J931" s="2">
        <v>1282.82</v>
      </c>
      <c r="K931">
        <v>231.33</v>
      </c>
      <c r="L931" s="2">
        <v>1051.49</v>
      </c>
      <c r="M931">
        <v>-23</v>
      </c>
      <c r="N931" t="s">
        <v>129</v>
      </c>
    </row>
    <row r="932" spans="1:14" x14ac:dyDescent="0.25">
      <c r="A932" t="s">
        <v>241</v>
      </c>
      <c r="B932">
        <v>1228</v>
      </c>
      <c r="C932" s="1">
        <v>42922</v>
      </c>
      <c r="D932" t="s">
        <v>479</v>
      </c>
      <c r="E932" s="1">
        <v>42916</v>
      </c>
      <c r="F932">
        <v>0</v>
      </c>
      <c r="G932" s="1">
        <v>42923</v>
      </c>
      <c r="H932" s="1">
        <v>42947</v>
      </c>
      <c r="I932" t="s">
        <v>15</v>
      </c>
      <c r="J932">
        <v>120.78</v>
      </c>
      <c r="K932">
        <v>21.78</v>
      </c>
      <c r="L932">
        <v>99</v>
      </c>
      <c r="M932">
        <v>-24</v>
      </c>
      <c r="N932" t="s">
        <v>30</v>
      </c>
    </row>
    <row r="933" spans="1:14" x14ac:dyDescent="0.25">
      <c r="A933" t="s">
        <v>241</v>
      </c>
      <c r="B933">
        <v>1229</v>
      </c>
      <c r="C933" s="1">
        <v>42922</v>
      </c>
      <c r="D933" t="s">
        <v>480</v>
      </c>
      <c r="E933" s="1">
        <v>42916</v>
      </c>
      <c r="F933">
        <v>0</v>
      </c>
      <c r="G933" s="1">
        <v>42923</v>
      </c>
      <c r="H933" s="1">
        <v>42947</v>
      </c>
      <c r="I933" t="s">
        <v>15</v>
      </c>
      <c r="J933" s="2">
        <v>1431.5</v>
      </c>
      <c r="K933">
        <v>258.14</v>
      </c>
      <c r="L933" s="2">
        <v>1173.3599999999999</v>
      </c>
      <c r="M933">
        <v>-24</v>
      </c>
      <c r="N933" t="s">
        <v>30</v>
      </c>
    </row>
    <row r="934" spans="1:14" x14ac:dyDescent="0.25">
      <c r="A934" t="s">
        <v>452</v>
      </c>
      <c r="B934">
        <v>1247</v>
      </c>
      <c r="C934" s="1">
        <v>42922</v>
      </c>
      <c r="D934" t="s">
        <v>481</v>
      </c>
      <c r="E934" s="1">
        <v>42916</v>
      </c>
      <c r="F934">
        <v>0</v>
      </c>
      <c r="G934" s="1">
        <v>42923</v>
      </c>
      <c r="H934" s="1">
        <v>42947</v>
      </c>
      <c r="I934" t="s">
        <v>15</v>
      </c>
      <c r="J934">
        <v>150</v>
      </c>
      <c r="K934">
        <v>27.05</v>
      </c>
      <c r="L934">
        <v>122.95</v>
      </c>
      <c r="M934">
        <v>-24</v>
      </c>
      <c r="N934" t="s">
        <v>59</v>
      </c>
    </row>
    <row r="935" spans="1:14" x14ac:dyDescent="0.25">
      <c r="A935" t="s">
        <v>452</v>
      </c>
      <c r="B935">
        <v>1254</v>
      </c>
      <c r="C935" s="1">
        <v>42922</v>
      </c>
      <c r="D935" t="s">
        <v>482</v>
      </c>
      <c r="E935" s="1">
        <v>42916</v>
      </c>
      <c r="F935">
        <v>0</v>
      </c>
      <c r="G935" s="1">
        <v>42923</v>
      </c>
      <c r="H935" s="1">
        <v>42947</v>
      </c>
      <c r="I935" t="s">
        <v>15</v>
      </c>
      <c r="J935">
        <v>315</v>
      </c>
      <c r="K935">
        <v>56.8</v>
      </c>
      <c r="L935">
        <v>258.2</v>
      </c>
      <c r="M935">
        <v>-24</v>
      </c>
      <c r="N935" t="s">
        <v>59</v>
      </c>
    </row>
    <row r="936" spans="1:14" x14ac:dyDescent="0.25">
      <c r="A936" t="s">
        <v>452</v>
      </c>
      <c r="B936">
        <v>1249</v>
      </c>
      <c r="C936" s="1">
        <v>42922</v>
      </c>
      <c r="D936" t="s">
        <v>481</v>
      </c>
      <c r="E936" s="1">
        <v>42916</v>
      </c>
      <c r="F936">
        <v>0</v>
      </c>
      <c r="G936" s="1">
        <v>42923</v>
      </c>
      <c r="H936" s="1">
        <v>42947</v>
      </c>
      <c r="I936" t="s">
        <v>15</v>
      </c>
      <c r="J936">
        <v>320</v>
      </c>
      <c r="K936">
        <v>57.7</v>
      </c>
      <c r="L936">
        <v>262.3</v>
      </c>
      <c r="M936">
        <v>-24</v>
      </c>
      <c r="N936" t="s">
        <v>59</v>
      </c>
    </row>
    <row r="937" spans="1:14" x14ac:dyDescent="0.25">
      <c r="A937" t="s">
        <v>452</v>
      </c>
      <c r="B937">
        <v>1253</v>
      </c>
      <c r="C937" s="1">
        <v>42922</v>
      </c>
      <c r="D937" t="s">
        <v>481</v>
      </c>
      <c r="E937" s="1">
        <v>42916</v>
      </c>
      <c r="F937">
        <v>0</v>
      </c>
      <c r="G937" s="1">
        <v>42923</v>
      </c>
      <c r="H937" s="1">
        <v>42947</v>
      </c>
      <c r="I937" t="s">
        <v>15</v>
      </c>
      <c r="J937">
        <v>220</v>
      </c>
      <c r="K937">
        <v>39.67</v>
      </c>
      <c r="L937">
        <v>180.33</v>
      </c>
      <c r="M937">
        <v>-24</v>
      </c>
      <c r="N937" t="s">
        <v>59</v>
      </c>
    </row>
    <row r="938" spans="1:14" x14ac:dyDescent="0.25">
      <c r="A938" t="s">
        <v>452</v>
      </c>
      <c r="B938">
        <v>1248</v>
      </c>
      <c r="C938" s="1">
        <v>42922</v>
      </c>
      <c r="D938" t="s">
        <v>482</v>
      </c>
      <c r="E938" s="1">
        <v>42916</v>
      </c>
      <c r="F938">
        <v>0</v>
      </c>
      <c r="G938" s="1">
        <v>42923</v>
      </c>
      <c r="H938" s="1">
        <v>42947</v>
      </c>
      <c r="I938" t="s">
        <v>15</v>
      </c>
      <c r="J938">
        <v>215</v>
      </c>
      <c r="K938">
        <v>38.770000000000003</v>
      </c>
      <c r="L938">
        <v>176.23</v>
      </c>
      <c r="M938">
        <v>-24</v>
      </c>
      <c r="N938" t="s">
        <v>59</v>
      </c>
    </row>
    <row r="939" spans="1:14" x14ac:dyDescent="0.25">
      <c r="A939" t="s">
        <v>452</v>
      </c>
      <c r="B939">
        <v>1244</v>
      </c>
      <c r="C939" s="1">
        <v>42922</v>
      </c>
      <c r="D939" t="s">
        <v>482</v>
      </c>
      <c r="E939" s="1">
        <v>42916</v>
      </c>
      <c r="F939">
        <v>0</v>
      </c>
      <c r="G939" s="1">
        <v>42923</v>
      </c>
      <c r="H939" s="1">
        <v>42947</v>
      </c>
      <c r="I939" t="s">
        <v>15</v>
      </c>
      <c r="J939">
        <v>312</v>
      </c>
      <c r="K939">
        <v>56.26</v>
      </c>
      <c r="L939">
        <v>255.74</v>
      </c>
      <c r="M939">
        <v>-24</v>
      </c>
      <c r="N939" t="s">
        <v>59</v>
      </c>
    </row>
    <row r="940" spans="1:14" x14ac:dyDescent="0.25">
      <c r="A940" t="s">
        <v>452</v>
      </c>
      <c r="B940">
        <v>1243</v>
      </c>
      <c r="C940" s="1">
        <v>42922</v>
      </c>
      <c r="D940" t="s">
        <v>481</v>
      </c>
      <c r="E940" s="1">
        <v>42916</v>
      </c>
      <c r="F940">
        <v>0</v>
      </c>
      <c r="G940" s="1">
        <v>42923</v>
      </c>
      <c r="H940" s="1">
        <v>42947</v>
      </c>
      <c r="I940" t="s">
        <v>15</v>
      </c>
      <c r="J940">
        <v>230</v>
      </c>
      <c r="K940">
        <v>41.48</v>
      </c>
      <c r="L940">
        <v>188.52</v>
      </c>
      <c r="M940">
        <v>-24</v>
      </c>
      <c r="N940" t="s">
        <v>59</v>
      </c>
    </row>
    <row r="941" spans="1:14" x14ac:dyDescent="0.25">
      <c r="A941" t="s">
        <v>452</v>
      </c>
      <c r="B941">
        <v>1250</v>
      </c>
      <c r="C941" s="1">
        <v>42922</v>
      </c>
      <c r="D941" t="s">
        <v>482</v>
      </c>
      <c r="E941" s="1">
        <v>42916</v>
      </c>
      <c r="F941">
        <v>0</v>
      </c>
      <c r="G941" s="1">
        <v>42923</v>
      </c>
      <c r="H941" s="1">
        <v>42947</v>
      </c>
      <c r="I941" t="s">
        <v>15</v>
      </c>
      <c r="J941">
        <v>400</v>
      </c>
      <c r="K941">
        <v>72.13</v>
      </c>
      <c r="L941">
        <v>327.87</v>
      </c>
      <c r="M941">
        <v>-24</v>
      </c>
      <c r="N941" t="s">
        <v>59</v>
      </c>
    </row>
    <row r="942" spans="1:14" x14ac:dyDescent="0.25">
      <c r="A942" t="s">
        <v>452</v>
      </c>
      <c r="B942">
        <v>1251</v>
      </c>
      <c r="C942" s="1">
        <v>42922</v>
      </c>
      <c r="D942" t="s">
        <v>481</v>
      </c>
      <c r="E942" s="1">
        <v>42916</v>
      </c>
      <c r="F942">
        <v>0</v>
      </c>
      <c r="G942" s="1">
        <v>42923</v>
      </c>
      <c r="H942" s="1">
        <v>42947</v>
      </c>
      <c r="I942" t="s">
        <v>15</v>
      </c>
      <c r="J942">
        <v>120</v>
      </c>
      <c r="K942">
        <v>21.64</v>
      </c>
      <c r="L942">
        <v>98.36</v>
      </c>
      <c r="M942">
        <v>-24</v>
      </c>
      <c r="N942" t="s">
        <v>59</v>
      </c>
    </row>
    <row r="943" spans="1:14" x14ac:dyDescent="0.25">
      <c r="A943" t="s">
        <v>452</v>
      </c>
      <c r="B943">
        <v>1252</v>
      </c>
      <c r="C943" s="1">
        <v>42922</v>
      </c>
      <c r="D943" t="s">
        <v>482</v>
      </c>
      <c r="E943" s="1">
        <v>42916</v>
      </c>
      <c r="F943">
        <v>0</v>
      </c>
      <c r="G943" s="1">
        <v>42923</v>
      </c>
      <c r="H943" s="1">
        <v>42947</v>
      </c>
      <c r="I943" t="s">
        <v>15</v>
      </c>
      <c r="J943">
        <v>175</v>
      </c>
      <c r="K943">
        <v>31.56</v>
      </c>
      <c r="L943">
        <v>143.44</v>
      </c>
      <c r="M943">
        <v>-24</v>
      </c>
      <c r="N943" t="s">
        <v>59</v>
      </c>
    </row>
    <row r="944" spans="1:14" x14ac:dyDescent="0.25">
      <c r="A944" t="s">
        <v>452</v>
      </c>
      <c r="B944">
        <v>1246</v>
      </c>
      <c r="C944" s="1">
        <v>42922</v>
      </c>
      <c r="D944" t="s">
        <v>482</v>
      </c>
      <c r="E944" s="1">
        <v>42916</v>
      </c>
      <c r="F944">
        <v>0</v>
      </c>
      <c r="G944" s="1">
        <v>42923</v>
      </c>
      <c r="H944" s="1">
        <v>42947</v>
      </c>
      <c r="I944" t="s">
        <v>15</v>
      </c>
      <c r="J944">
        <v>230</v>
      </c>
      <c r="K944">
        <v>41.48</v>
      </c>
      <c r="L944">
        <v>188.52</v>
      </c>
      <c r="M944">
        <v>-24</v>
      </c>
      <c r="N944" t="s">
        <v>59</v>
      </c>
    </row>
    <row r="945" spans="1:14" x14ac:dyDescent="0.25">
      <c r="A945" t="s">
        <v>452</v>
      </c>
      <c r="B945">
        <v>1245</v>
      </c>
      <c r="C945" s="1">
        <v>42922</v>
      </c>
      <c r="D945" t="s">
        <v>481</v>
      </c>
      <c r="E945" s="1">
        <v>42916</v>
      </c>
      <c r="F945">
        <v>0</v>
      </c>
      <c r="G945" s="1">
        <v>42923</v>
      </c>
      <c r="H945" s="1">
        <v>42947</v>
      </c>
      <c r="I945" t="s">
        <v>15</v>
      </c>
      <c r="J945">
        <v>180</v>
      </c>
      <c r="K945">
        <v>32.46</v>
      </c>
      <c r="L945">
        <v>147.54</v>
      </c>
      <c r="M945">
        <v>-24</v>
      </c>
      <c r="N945" t="s">
        <v>59</v>
      </c>
    </row>
    <row r="946" spans="1:14" x14ac:dyDescent="0.25">
      <c r="A946" t="s">
        <v>151</v>
      </c>
      <c r="B946">
        <v>1481</v>
      </c>
      <c r="C946" s="1">
        <v>42956</v>
      </c>
      <c r="D946" t="s">
        <v>483</v>
      </c>
      <c r="E946" s="1">
        <v>42951</v>
      </c>
      <c r="F946">
        <v>0</v>
      </c>
      <c r="G946" s="1">
        <v>42957</v>
      </c>
      <c r="H946" s="1">
        <v>42981</v>
      </c>
      <c r="I946" t="s">
        <v>15</v>
      </c>
      <c r="J946">
        <v>689.54</v>
      </c>
      <c r="K946">
        <v>32.840000000000003</v>
      </c>
      <c r="L946">
        <v>656.7</v>
      </c>
      <c r="M946">
        <v>-24</v>
      </c>
      <c r="N946" t="s">
        <v>153</v>
      </c>
    </row>
    <row r="947" spans="1:14" x14ac:dyDescent="0.25">
      <c r="A947" t="s">
        <v>484</v>
      </c>
      <c r="B947">
        <v>1207</v>
      </c>
      <c r="C947" s="1">
        <v>42922</v>
      </c>
      <c r="D947" t="str">
        <f>"2017201155"</f>
        <v>2017201155</v>
      </c>
      <c r="E947" s="1">
        <v>42886</v>
      </c>
      <c r="F947">
        <v>0</v>
      </c>
      <c r="G947" s="1">
        <v>42923</v>
      </c>
      <c r="H947" s="1">
        <v>42947</v>
      </c>
      <c r="I947" t="s">
        <v>15</v>
      </c>
      <c r="J947">
        <v>48</v>
      </c>
      <c r="K947">
        <v>0</v>
      </c>
      <c r="L947">
        <v>48</v>
      </c>
      <c r="M947">
        <v>-24</v>
      </c>
      <c r="N947" t="s">
        <v>18</v>
      </c>
    </row>
    <row r="948" spans="1:14" x14ac:dyDescent="0.25">
      <c r="A948" t="s">
        <v>61</v>
      </c>
      <c r="B948">
        <v>1624</v>
      </c>
      <c r="C948" s="1">
        <v>42993</v>
      </c>
      <c r="D948" t="str">
        <f>"383"</f>
        <v>383</v>
      </c>
      <c r="E948" s="1">
        <v>42948</v>
      </c>
      <c r="F948">
        <v>0</v>
      </c>
      <c r="G948" s="1">
        <v>42993</v>
      </c>
      <c r="H948" s="1">
        <v>43018</v>
      </c>
      <c r="I948" t="s">
        <v>15</v>
      </c>
      <c r="J948">
        <v>259.08</v>
      </c>
      <c r="K948">
        <v>0</v>
      </c>
      <c r="L948">
        <v>259.08</v>
      </c>
      <c r="M948">
        <v>-25</v>
      </c>
      <c r="N948" t="s">
        <v>62</v>
      </c>
    </row>
    <row r="949" spans="1:14" x14ac:dyDescent="0.25">
      <c r="A949" t="s">
        <v>61</v>
      </c>
      <c r="B949">
        <v>1625</v>
      </c>
      <c r="C949" s="1">
        <v>42993</v>
      </c>
      <c r="D949" t="str">
        <f>"384"</f>
        <v>384</v>
      </c>
      <c r="E949" s="1">
        <v>42948</v>
      </c>
      <c r="F949">
        <v>0</v>
      </c>
      <c r="G949" s="1">
        <v>42993</v>
      </c>
      <c r="H949" s="1">
        <v>43018</v>
      </c>
      <c r="I949" t="s">
        <v>15</v>
      </c>
      <c r="J949">
        <v>128.66</v>
      </c>
      <c r="K949">
        <v>0</v>
      </c>
      <c r="L949">
        <v>128.66</v>
      </c>
      <c r="M949">
        <v>-25</v>
      </c>
      <c r="N949" t="s">
        <v>62</v>
      </c>
    </row>
    <row r="950" spans="1:14" x14ac:dyDescent="0.25">
      <c r="A950" t="s">
        <v>61</v>
      </c>
      <c r="B950">
        <v>1626</v>
      </c>
      <c r="C950" s="1">
        <v>42993</v>
      </c>
      <c r="D950" t="str">
        <f>"379"</f>
        <v>379</v>
      </c>
      <c r="E950" s="1">
        <v>42948</v>
      </c>
      <c r="F950">
        <v>0</v>
      </c>
      <c r="G950" s="1">
        <v>42993</v>
      </c>
      <c r="H950" s="1">
        <v>43018</v>
      </c>
      <c r="I950" t="s">
        <v>15</v>
      </c>
      <c r="J950">
        <v>136.9</v>
      </c>
      <c r="K950">
        <v>0</v>
      </c>
      <c r="L950">
        <v>136.9</v>
      </c>
      <c r="M950">
        <v>-25</v>
      </c>
      <c r="N950" t="s">
        <v>62</v>
      </c>
    </row>
    <row r="951" spans="1:14" x14ac:dyDescent="0.25">
      <c r="A951" t="s">
        <v>241</v>
      </c>
      <c r="B951">
        <v>1821</v>
      </c>
      <c r="C951" s="1">
        <v>43014</v>
      </c>
      <c r="D951" t="s">
        <v>485</v>
      </c>
      <c r="E951" s="1">
        <v>43006</v>
      </c>
      <c r="F951">
        <v>0</v>
      </c>
      <c r="G951" s="1">
        <v>43014</v>
      </c>
      <c r="H951" s="1">
        <v>43039</v>
      </c>
      <c r="I951" t="s">
        <v>15</v>
      </c>
      <c r="J951">
        <v>226.92</v>
      </c>
      <c r="K951">
        <v>40.92</v>
      </c>
      <c r="L951">
        <v>186</v>
      </c>
      <c r="M951">
        <v>-25</v>
      </c>
      <c r="N951" t="s">
        <v>30</v>
      </c>
    </row>
    <row r="952" spans="1:14" x14ac:dyDescent="0.25">
      <c r="A952" t="s">
        <v>486</v>
      </c>
      <c r="B952">
        <v>1813</v>
      </c>
      <c r="C952" s="1">
        <v>43014</v>
      </c>
      <c r="D952" t="s">
        <v>487</v>
      </c>
      <c r="E952" s="1">
        <v>42982</v>
      </c>
      <c r="F952">
        <v>0</v>
      </c>
      <c r="G952" s="1">
        <v>43014</v>
      </c>
      <c r="H952" s="1">
        <v>43039</v>
      </c>
      <c r="I952" t="s">
        <v>15</v>
      </c>
      <c r="J952" s="2">
        <v>7971.6</v>
      </c>
      <c r="K952">
        <v>306.60000000000002</v>
      </c>
      <c r="L952" s="2">
        <v>7665</v>
      </c>
      <c r="M952">
        <v>-25</v>
      </c>
      <c r="N952" t="s">
        <v>101</v>
      </c>
    </row>
    <row r="953" spans="1:14" x14ac:dyDescent="0.25">
      <c r="A953" t="s">
        <v>180</v>
      </c>
      <c r="B953">
        <v>457</v>
      </c>
      <c r="C953" s="1">
        <v>42804</v>
      </c>
      <c r="D953" t="str">
        <f>"41"</f>
        <v>41</v>
      </c>
      <c r="E953" s="1">
        <v>42794</v>
      </c>
      <c r="F953">
        <v>0</v>
      </c>
      <c r="G953" s="1">
        <v>42804</v>
      </c>
      <c r="H953" s="1">
        <v>42830</v>
      </c>
      <c r="I953" t="s">
        <v>15</v>
      </c>
      <c r="J953">
        <v>500</v>
      </c>
      <c r="K953">
        <v>90.16</v>
      </c>
      <c r="L953">
        <v>409.84</v>
      </c>
      <c r="M953">
        <v>-26</v>
      </c>
      <c r="N953" t="s">
        <v>16</v>
      </c>
    </row>
    <row r="954" spans="1:14" x14ac:dyDescent="0.25">
      <c r="A954" t="s">
        <v>180</v>
      </c>
      <c r="B954">
        <v>461</v>
      </c>
      <c r="C954" s="1">
        <v>42804</v>
      </c>
      <c r="D954" t="str">
        <f>"41"</f>
        <v>41</v>
      </c>
      <c r="E954" s="1">
        <v>42794</v>
      </c>
      <c r="F954">
        <v>0</v>
      </c>
      <c r="G954" s="1">
        <v>42804</v>
      </c>
      <c r="H954" s="1">
        <v>42830</v>
      </c>
      <c r="I954" t="s">
        <v>15</v>
      </c>
      <c r="J954">
        <v>50</v>
      </c>
      <c r="K954">
        <v>9.02</v>
      </c>
      <c r="L954">
        <v>40.98</v>
      </c>
      <c r="M954">
        <v>-26</v>
      </c>
      <c r="N954" t="s">
        <v>16</v>
      </c>
    </row>
    <row r="955" spans="1:14" x14ac:dyDescent="0.25">
      <c r="A955" t="s">
        <v>180</v>
      </c>
      <c r="B955">
        <v>460</v>
      </c>
      <c r="C955" s="1">
        <v>42804</v>
      </c>
      <c r="D955" t="str">
        <f>"41"</f>
        <v>41</v>
      </c>
      <c r="E955" s="1">
        <v>42794</v>
      </c>
      <c r="F955">
        <v>0</v>
      </c>
      <c r="G955" s="1">
        <v>42804</v>
      </c>
      <c r="H955" s="1">
        <v>42830</v>
      </c>
      <c r="I955" t="s">
        <v>15</v>
      </c>
      <c r="J955">
        <v>500</v>
      </c>
      <c r="K955">
        <v>90.16</v>
      </c>
      <c r="L955">
        <v>409.84</v>
      </c>
      <c r="M955">
        <v>-26</v>
      </c>
      <c r="N955" t="s">
        <v>16</v>
      </c>
    </row>
    <row r="956" spans="1:14" x14ac:dyDescent="0.25">
      <c r="A956" t="s">
        <v>180</v>
      </c>
      <c r="B956">
        <v>458</v>
      </c>
      <c r="C956" s="1">
        <v>42804</v>
      </c>
      <c r="D956" t="str">
        <f>"41"</f>
        <v>41</v>
      </c>
      <c r="E956" s="1">
        <v>42794</v>
      </c>
      <c r="F956">
        <v>0</v>
      </c>
      <c r="G956" s="1">
        <v>42804</v>
      </c>
      <c r="H956" s="1">
        <v>42830</v>
      </c>
      <c r="I956" t="s">
        <v>15</v>
      </c>
      <c r="J956">
        <v>194.59</v>
      </c>
      <c r="K956">
        <v>35.090000000000003</v>
      </c>
      <c r="L956">
        <v>159.5</v>
      </c>
      <c r="M956">
        <v>-26</v>
      </c>
      <c r="N956" t="s">
        <v>16</v>
      </c>
    </row>
    <row r="957" spans="1:14" x14ac:dyDescent="0.25">
      <c r="A957" t="s">
        <v>180</v>
      </c>
      <c r="B957">
        <v>459</v>
      </c>
      <c r="C957" s="1">
        <v>42804</v>
      </c>
      <c r="D957" t="str">
        <f>"41"</f>
        <v>41</v>
      </c>
      <c r="E957" s="1">
        <v>42794</v>
      </c>
      <c r="F957">
        <v>0</v>
      </c>
      <c r="G957" s="1">
        <v>42804</v>
      </c>
      <c r="H957" s="1">
        <v>42830</v>
      </c>
      <c r="I957" t="s">
        <v>15</v>
      </c>
      <c r="J957">
        <v>80</v>
      </c>
      <c r="K957">
        <v>14.43</v>
      </c>
      <c r="L957">
        <v>65.569999999999993</v>
      </c>
      <c r="M957">
        <v>-26</v>
      </c>
      <c r="N957" t="s">
        <v>16</v>
      </c>
    </row>
    <row r="958" spans="1:14" x14ac:dyDescent="0.25">
      <c r="A958" t="s">
        <v>424</v>
      </c>
      <c r="B958">
        <v>2146</v>
      </c>
      <c r="C958" s="1">
        <v>43067</v>
      </c>
      <c r="D958" t="s">
        <v>488</v>
      </c>
      <c r="E958" s="1">
        <v>43033</v>
      </c>
      <c r="F958">
        <v>0</v>
      </c>
      <c r="G958" s="1">
        <v>43067</v>
      </c>
      <c r="H958" s="1">
        <v>43093</v>
      </c>
      <c r="I958" t="s">
        <v>15</v>
      </c>
      <c r="J958">
        <v>75.010000000000005</v>
      </c>
      <c r="K958">
        <v>13.53</v>
      </c>
      <c r="L958">
        <v>61.48</v>
      </c>
      <c r="M958">
        <v>-26</v>
      </c>
      <c r="N958" t="s">
        <v>78</v>
      </c>
    </row>
    <row r="959" spans="1:14" x14ac:dyDescent="0.25">
      <c r="A959" t="s">
        <v>424</v>
      </c>
      <c r="B959">
        <v>2147</v>
      </c>
      <c r="C959" s="1">
        <v>43067</v>
      </c>
      <c r="D959" t="s">
        <v>489</v>
      </c>
      <c r="E959" s="1">
        <v>43033</v>
      </c>
      <c r="F959">
        <v>0</v>
      </c>
      <c r="G959" s="1">
        <v>43067</v>
      </c>
      <c r="H959" s="1">
        <v>43093</v>
      </c>
      <c r="I959" t="s">
        <v>15</v>
      </c>
      <c r="J959">
        <v>200.01</v>
      </c>
      <c r="K959">
        <v>36.07</v>
      </c>
      <c r="L959">
        <v>163.94</v>
      </c>
      <c r="M959">
        <v>-26</v>
      </c>
      <c r="N959" t="s">
        <v>78</v>
      </c>
    </row>
    <row r="960" spans="1:14" x14ac:dyDescent="0.25">
      <c r="A960" t="s">
        <v>490</v>
      </c>
      <c r="B960">
        <v>363</v>
      </c>
      <c r="C960" s="1">
        <v>42790</v>
      </c>
      <c r="D960" t="str">
        <f>"270206302545118"</f>
        <v>270206302545118</v>
      </c>
      <c r="E960" s="1">
        <v>42748</v>
      </c>
      <c r="F960">
        <v>0</v>
      </c>
      <c r="G960" s="1">
        <v>42790</v>
      </c>
      <c r="H960" s="1">
        <v>42818</v>
      </c>
      <c r="I960" t="s">
        <v>23</v>
      </c>
      <c r="J960">
        <v>35.79</v>
      </c>
      <c r="K960">
        <v>6.45</v>
      </c>
      <c r="L960">
        <v>29.34</v>
      </c>
      <c r="M960">
        <v>-28</v>
      </c>
      <c r="N960" t="s">
        <v>491</v>
      </c>
    </row>
    <row r="961" spans="1:14" x14ac:dyDescent="0.25">
      <c r="A961" t="s">
        <v>492</v>
      </c>
      <c r="B961">
        <v>989</v>
      </c>
      <c r="C961" s="1">
        <v>42895</v>
      </c>
      <c r="D961" t="s">
        <v>493</v>
      </c>
      <c r="E961" s="1">
        <v>42863</v>
      </c>
      <c r="F961">
        <v>0</v>
      </c>
      <c r="G961" s="1">
        <v>42895</v>
      </c>
      <c r="H961" s="1">
        <v>42923</v>
      </c>
      <c r="I961" t="s">
        <v>15</v>
      </c>
      <c r="J961">
        <v>44</v>
      </c>
      <c r="K961">
        <v>0</v>
      </c>
      <c r="L961">
        <v>44</v>
      </c>
      <c r="M961">
        <v>-28</v>
      </c>
      <c r="N961" t="s">
        <v>76</v>
      </c>
    </row>
    <row r="962" spans="1:14" x14ac:dyDescent="0.25">
      <c r="A962" t="s">
        <v>73</v>
      </c>
      <c r="B962">
        <v>1752</v>
      </c>
      <c r="C962" s="1">
        <v>43007</v>
      </c>
      <c r="D962" t="str">
        <f>"0002131708"</f>
        <v>0002131708</v>
      </c>
      <c r="E962" s="1">
        <v>42978</v>
      </c>
      <c r="F962">
        <v>0</v>
      </c>
      <c r="G962" s="1">
        <v>43010</v>
      </c>
      <c r="H962" s="1">
        <v>43039</v>
      </c>
      <c r="I962" t="s">
        <v>15</v>
      </c>
      <c r="J962">
        <v>122</v>
      </c>
      <c r="K962">
        <v>22</v>
      </c>
      <c r="L962">
        <v>100</v>
      </c>
      <c r="M962">
        <v>-29</v>
      </c>
      <c r="N962" t="s">
        <v>27</v>
      </c>
    </row>
    <row r="963" spans="1:14" x14ac:dyDescent="0.25">
      <c r="A963" t="s">
        <v>28</v>
      </c>
      <c r="B963">
        <v>1748</v>
      </c>
      <c r="C963" s="1">
        <v>43007</v>
      </c>
      <c r="D963" t="s">
        <v>494</v>
      </c>
      <c r="E963" s="1">
        <v>42984</v>
      </c>
      <c r="F963">
        <v>0</v>
      </c>
      <c r="G963" s="1">
        <v>43010</v>
      </c>
      <c r="H963" s="1">
        <v>43039</v>
      </c>
      <c r="I963" t="s">
        <v>15</v>
      </c>
      <c r="J963" s="2">
        <v>1713.4</v>
      </c>
      <c r="K963">
        <v>308.98</v>
      </c>
      <c r="L963" s="2">
        <v>1404.42</v>
      </c>
      <c r="M963">
        <v>-29</v>
      </c>
      <c r="N963" t="s">
        <v>30</v>
      </c>
    </row>
    <row r="964" spans="1:14" x14ac:dyDescent="0.25">
      <c r="A964" t="s">
        <v>28</v>
      </c>
      <c r="B964">
        <v>1745</v>
      </c>
      <c r="C964" s="1">
        <v>43007</v>
      </c>
      <c r="D964" t="s">
        <v>494</v>
      </c>
      <c r="E964" s="1">
        <v>42984</v>
      </c>
      <c r="F964">
        <v>0</v>
      </c>
      <c r="G964" s="1">
        <v>43010</v>
      </c>
      <c r="H964" s="1">
        <v>43039</v>
      </c>
      <c r="I964" t="s">
        <v>15</v>
      </c>
      <c r="J964" s="2">
        <v>5165.6000000000004</v>
      </c>
      <c r="K964">
        <v>931.5</v>
      </c>
      <c r="L964" s="2">
        <v>4234.1000000000004</v>
      </c>
      <c r="M964">
        <v>-29</v>
      </c>
      <c r="N964" t="s">
        <v>30</v>
      </c>
    </row>
    <row r="965" spans="1:14" x14ac:dyDescent="0.25">
      <c r="A965" t="s">
        <v>28</v>
      </c>
      <c r="B965">
        <v>1746</v>
      </c>
      <c r="C965" s="1">
        <v>43007</v>
      </c>
      <c r="D965" t="s">
        <v>494</v>
      </c>
      <c r="E965" s="1">
        <v>42984</v>
      </c>
      <c r="F965">
        <v>0</v>
      </c>
      <c r="G965" s="1">
        <v>43010</v>
      </c>
      <c r="H965" s="1">
        <v>43039</v>
      </c>
      <c r="I965" t="s">
        <v>15</v>
      </c>
      <c r="J965" s="2">
        <v>1933</v>
      </c>
      <c r="K965">
        <v>348.57</v>
      </c>
      <c r="L965" s="2">
        <v>1584.43</v>
      </c>
      <c r="M965">
        <v>-29</v>
      </c>
      <c r="N965" t="s">
        <v>30</v>
      </c>
    </row>
    <row r="966" spans="1:14" x14ac:dyDescent="0.25">
      <c r="A966" t="s">
        <v>28</v>
      </c>
      <c r="B966">
        <v>1750</v>
      </c>
      <c r="C966" s="1">
        <v>43007</v>
      </c>
      <c r="D966" t="s">
        <v>494</v>
      </c>
      <c r="E966" s="1">
        <v>42984</v>
      </c>
      <c r="F966">
        <v>0</v>
      </c>
      <c r="G966" s="1">
        <v>43010</v>
      </c>
      <c r="H966" s="1">
        <v>43039</v>
      </c>
      <c r="I966" t="s">
        <v>15</v>
      </c>
      <c r="J966">
        <v>623</v>
      </c>
      <c r="K966">
        <v>112.34</v>
      </c>
      <c r="L966">
        <v>510.66</v>
      </c>
      <c r="M966">
        <v>-29</v>
      </c>
      <c r="N966" t="s">
        <v>30</v>
      </c>
    </row>
    <row r="967" spans="1:14" x14ac:dyDescent="0.25">
      <c r="A967" t="s">
        <v>28</v>
      </c>
      <c r="B967">
        <v>1751</v>
      </c>
      <c r="C967" s="1">
        <v>43007</v>
      </c>
      <c r="D967" t="s">
        <v>494</v>
      </c>
      <c r="E967" s="1">
        <v>42984</v>
      </c>
      <c r="F967">
        <v>0</v>
      </c>
      <c r="G967" s="1">
        <v>43010</v>
      </c>
      <c r="H967" s="1">
        <v>43039</v>
      </c>
      <c r="I967" t="s">
        <v>15</v>
      </c>
      <c r="J967">
        <v>843</v>
      </c>
      <c r="K967">
        <v>152.02000000000001</v>
      </c>
      <c r="L967">
        <v>690.98</v>
      </c>
      <c r="M967">
        <v>-29</v>
      </c>
      <c r="N967" t="s">
        <v>30</v>
      </c>
    </row>
    <row r="968" spans="1:14" x14ac:dyDescent="0.25">
      <c r="A968" t="s">
        <v>28</v>
      </c>
      <c r="B968">
        <v>1747</v>
      </c>
      <c r="C968" s="1">
        <v>43007</v>
      </c>
      <c r="D968" t="s">
        <v>494</v>
      </c>
      <c r="E968" s="1">
        <v>42984</v>
      </c>
      <c r="F968">
        <v>0</v>
      </c>
      <c r="G968" s="1">
        <v>43010</v>
      </c>
      <c r="H968" s="1">
        <v>43039</v>
      </c>
      <c r="I968" t="s">
        <v>15</v>
      </c>
      <c r="J968">
        <v>824</v>
      </c>
      <c r="K968">
        <v>148.59</v>
      </c>
      <c r="L968">
        <v>675.41</v>
      </c>
      <c r="M968">
        <v>-29</v>
      </c>
      <c r="N968" t="s">
        <v>30</v>
      </c>
    </row>
    <row r="969" spans="1:14" x14ac:dyDescent="0.25">
      <c r="A969" t="s">
        <v>28</v>
      </c>
      <c r="B969">
        <v>1749</v>
      </c>
      <c r="C969" s="1">
        <v>43007</v>
      </c>
      <c r="D969" t="s">
        <v>494</v>
      </c>
      <c r="E969" s="1">
        <v>42984</v>
      </c>
      <c r="F969">
        <v>0</v>
      </c>
      <c r="G969" s="1">
        <v>43010</v>
      </c>
      <c r="H969" s="1">
        <v>43039</v>
      </c>
      <c r="I969" t="s">
        <v>15</v>
      </c>
      <c r="J969" s="2">
        <v>1268.8</v>
      </c>
      <c r="K969">
        <v>228.8</v>
      </c>
      <c r="L969" s="2">
        <v>1040</v>
      </c>
      <c r="M969">
        <v>-29</v>
      </c>
      <c r="N969" t="s">
        <v>30</v>
      </c>
    </row>
    <row r="970" spans="1:14" x14ac:dyDescent="0.25">
      <c r="A970" t="s">
        <v>495</v>
      </c>
      <c r="B970">
        <v>1894</v>
      </c>
      <c r="C970" s="1">
        <v>43033</v>
      </c>
      <c r="D970" t="str">
        <f>"103"</f>
        <v>103</v>
      </c>
      <c r="E970" s="1">
        <v>43000</v>
      </c>
      <c r="F970">
        <v>0</v>
      </c>
      <c r="G970" s="1">
        <v>43034</v>
      </c>
      <c r="H970" s="1">
        <v>43063</v>
      </c>
      <c r="I970" t="s">
        <v>23</v>
      </c>
      <c r="J970">
        <v>578.26</v>
      </c>
      <c r="K970">
        <v>52.57</v>
      </c>
      <c r="L970">
        <v>525.69000000000005</v>
      </c>
      <c r="M970">
        <v>-29</v>
      </c>
      <c r="N970" t="s">
        <v>287</v>
      </c>
    </row>
    <row r="971" spans="1:14" x14ac:dyDescent="0.25">
      <c r="A971" t="s">
        <v>417</v>
      </c>
      <c r="B971">
        <v>1988</v>
      </c>
      <c r="C971" s="1">
        <v>43049</v>
      </c>
      <c r="D971" t="s">
        <v>496</v>
      </c>
      <c r="E971" s="1">
        <v>43008</v>
      </c>
      <c r="F971">
        <v>0</v>
      </c>
      <c r="G971" s="1">
        <v>43049</v>
      </c>
      <c r="H971" s="1">
        <v>43079</v>
      </c>
      <c r="I971" t="s">
        <v>23</v>
      </c>
      <c r="J971" s="2">
        <v>25838.31</v>
      </c>
      <c r="K971" s="2">
        <v>1230.4000000000001</v>
      </c>
      <c r="L971" s="2">
        <v>24607.91</v>
      </c>
      <c r="M971">
        <v>-30</v>
      </c>
      <c r="N971" t="s">
        <v>78</v>
      </c>
    </row>
    <row r="972" spans="1:14" x14ac:dyDescent="0.25">
      <c r="A972" t="s">
        <v>417</v>
      </c>
      <c r="B972">
        <v>1987</v>
      </c>
      <c r="C972" s="1">
        <v>43049</v>
      </c>
      <c r="D972" t="s">
        <v>497</v>
      </c>
      <c r="E972" s="1">
        <v>43008</v>
      </c>
      <c r="F972">
        <v>0</v>
      </c>
      <c r="G972" s="1">
        <v>43049</v>
      </c>
      <c r="H972" s="1">
        <v>43079</v>
      </c>
      <c r="I972" t="s">
        <v>23</v>
      </c>
      <c r="J972" s="2">
        <v>20211.63</v>
      </c>
      <c r="K972">
        <v>962.46</v>
      </c>
      <c r="L972" s="2">
        <v>19249.169999999998</v>
      </c>
      <c r="M972">
        <v>-30</v>
      </c>
      <c r="N972" t="s">
        <v>78</v>
      </c>
    </row>
    <row r="973" spans="1:14" x14ac:dyDescent="0.25">
      <c r="A973" t="s">
        <v>498</v>
      </c>
      <c r="B973">
        <v>1976</v>
      </c>
      <c r="C973" s="1">
        <v>43048</v>
      </c>
      <c r="D973" t="s">
        <v>499</v>
      </c>
      <c r="E973" s="1">
        <v>43019</v>
      </c>
      <c r="F973">
        <v>0</v>
      </c>
      <c r="G973" s="1">
        <v>43049</v>
      </c>
      <c r="H973" s="1">
        <v>43080</v>
      </c>
      <c r="I973" t="s">
        <v>23</v>
      </c>
      <c r="J973" s="2">
        <v>20302.77</v>
      </c>
      <c r="K973" s="2">
        <v>3661.16</v>
      </c>
      <c r="L973" s="2">
        <v>16641.61</v>
      </c>
      <c r="M973">
        <v>-31</v>
      </c>
      <c r="N973" t="s">
        <v>30</v>
      </c>
    </row>
    <row r="974" spans="1:14" x14ac:dyDescent="0.25">
      <c r="A974" t="s">
        <v>498</v>
      </c>
      <c r="B974">
        <v>1977</v>
      </c>
      <c r="C974" s="1">
        <v>43048</v>
      </c>
      <c r="D974" t="s">
        <v>499</v>
      </c>
      <c r="E974" s="1">
        <v>43019</v>
      </c>
      <c r="F974">
        <v>0</v>
      </c>
      <c r="G974" s="1">
        <v>43049</v>
      </c>
      <c r="H974" s="1">
        <v>43080</v>
      </c>
      <c r="I974" t="s">
        <v>23</v>
      </c>
      <c r="J974" s="2">
        <v>1997.11</v>
      </c>
      <c r="K974">
        <v>360.13</v>
      </c>
      <c r="L974" s="2">
        <v>1636.98</v>
      </c>
      <c r="M974">
        <v>-31</v>
      </c>
      <c r="N974" t="s">
        <v>30</v>
      </c>
    </row>
    <row r="975" spans="1:14" x14ac:dyDescent="0.25">
      <c r="A975" t="s">
        <v>241</v>
      </c>
      <c r="B975">
        <v>1428</v>
      </c>
      <c r="C975" s="1">
        <v>42956</v>
      </c>
      <c r="D975" t="s">
        <v>500</v>
      </c>
      <c r="E975" s="1">
        <v>42944</v>
      </c>
      <c r="F975">
        <v>0</v>
      </c>
      <c r="G975" s="1">
        <v>42957</v>
      </c>
      <c r="H975" s="1">
        <v>42988</v>
      </c>
      <c r="I975" t="s">
        <v>15</v>
      </c>
      <c r="J975">
        <v>226.92</v>
      </c>
      <c r="K975">
        <v>40.92</v>
      </c>
      <c r="L975">
        <v>186</v>
      </c>
      <c r="M975">
        <v>-31</v>
      </c>
      <c r="N975" t="s">
        <v>30</v>
      </c>
    </row>
    <row r="976" spans="1:14" x14ac:dyDescent="0.25">
      <c r="A976" t="s">
        <v>123</v>
      </c>
      <c r="B976">
        <v>1188</v>
      </c>
      <c r="C976" s="1">
        <v>42914</v>
      </c>
      <c r="D976" t="s">
        <v>501</v>
      </c>
      <c r="E976" s="1">
        <v>42881</v>
      </c>
      <c r="F976">
        <v>0</v>
      </c>
      <c r="G976" s="1">
        <v>42914</v>
      </c>
      <c r="H976" s="1">
        <v>42947</v>
      </c>
      <c r="I976" t="s">
        <v>15</v>
      </c>
      <c r="J976" s="2">
        <v>2500</v>
      </c>
      <c r="K976">
        <v>0</v>
      </c>
      <c r="L976" s="2">
        <v>2500</v>
      </c>
      <c r="M976">
        <v>-33</v>
      </c>
      <c r="N976" t="s">
        <v>359</v>
      </c>
    </row>
    <row r="977" spans="1:14" x14ac:dyDescent="0.25">
      <c r="A977" t="s">
        <v>438</v>
      </c>
      <c r="B977">
        <v>863</v>
      </c>
      <c r="C977" s="1">
        <v>42871</v>
      </c>
      <c r="D977" t="str">
        <f>"0000007617"</f>
        <v>0000007617</v>
      </c>
      <c r="E977" s="1">
        <v>42846</v>
      </c>
      <c r="F977">
        <v>0</v>
      </c>
      <c r="G977" s="1">
        <v>42873</v>
      </c>
      <c r="H977" s="1">
        <v>42906</v>
      </c>
      <c r="I977" t="s">
        <v>15</v>
      </c>
      <c r="J977">
        <v>215.59</v>
      </c>
      <c r="K977">
        <v>38.880000000000003</v>
      </c>
      <c r="L977">
        <v>176.71</v>
      </c>
      <c r="M977">
        <v>-33</v>
      </c>
      <c r="N977" t="s">
        <v>27</v>
      </c>
    </row>
    <row r="978" spans="1:14" x14ac:dyDescent="0.25">
      <c r="A978" t="s">
        <v>70</v>
      </c>
      <c r="B978">
        <v>340</v>
      </c>
      <c r="C978" s="1">
        <v>42789</v>
      </c>
      <c r="D978" t="s">
        <v>420</v>
      </c>
      <c r="E978" s="1">
        <v>42772</v>
      </c>
      <c r="F978">
        <v>0</v>
      </c>
      <c r="G978" s="1">
        <v>42790</v>
      </c>
      <c r="H978" s="1">
        <v>42824</v>
      </c>
      <c r="I978" t="s">
        <v>15</v>
      </c>
      <c r="J978">
        <v>213</v>
      </c>
      <c r="K978">
        <v>38.409999999999997</v>
      </c>
      <c r="L978">
        <v>174.59</v>
      </c>
      <c r="M978">
        <v>-34</v>
      </c>
      <c r="N978" t="s">
        <v>52</v>
      </c>
    </row>
    <row r="979" spans="1:14" x14ac:dyDescent="0.25">
      <c r="A979" t="s">
        <v>70</v>
      </c>
      <c r="B979">
        <v>339</v>
      </c>
      <c r="C979" s="1">
        <v>42789</v>
      </c>
      <c r="D979" t="s">
        <v>420</v>
      </c>
      <c r="E979" s="1">
        <v>42772</v>
      </c>
      <c r="F979">
        <v>0</v>
      </c>
      <c r="G979" s="1">
        <v>42790</v>
      </c>
      <c r="H979" s="1">
        <v>42824</v>
      </c>
      <c r="I979" t="s">
        <v>15</v>
      </c>
      <c r="J979">
        <v>215</v>
      </c>
      <c r="K979">
        <v>38.770000000000003</v>
      </c>
      <c r="L979">
        <v>176.23</v>
      </c>
      <c r="M979">
        <v>-34</v>
      </c>
      <c r="N979" t="s">
        <v>52</v>
      </c>
    </row>
    <row r="980" spans="1:14" x14ac:dyDescent="0.25">
      <c r="A980" t="s">
        <v>70</v>
      </c>
      <c r="B980">
        <v>336</v>
      </c>
      <c r="C980" s="1">
        <v>42789</v>
      </c>
      <c r="D980" t="s">
        <v>420</v>
      </c>
      <c r="E980" s="1">
        <v>42772</v>
      </c>
      <c r="F980">
        <v>0</v>
      </c>
      <c r="G980" s="1">
        <v>42790</v>
      </c>
      <c r="H980" s="1">
        <v>42824</v>
      </c>
      <c r="I980" t="s">
        <v>15</v>
      </c>
      <c r="J980">
        <v>259.93</v>
      </c>
      <c r="K980">
        <v>46.87</v>
      </c>
      <c r="L980">
        <v>213.06</v>
      </c>
      <c r="M980">
        <v>-34</v>
      </c>
      <c r="N980" t="s">
        <v>52</v>
      </c>
    </row>
    <row r="981" spans="1:14" x14ac:dyDescent="0.25">
      <c r="A981" t="s">
        <v>70</v>
      </c>
      <c r="B981">
        <v>338</v>
      </c>
      <c r="C981" s="1">
        <v>42789</v>
      </c>
      <c r="D981" t="s">
        <v>420</v>
      </c>
      <c r="E981" s="1">
        <v>42772</v>
      </c>
      <c r="F981">
        <v>0</v>
      </c>
      <c r="G981" s="1">
        <v>42790</v>
      </c>
      <c r="H981" s="1">
        <v>42824</v>
      </c>
      <c r="I981" t="s">
        <v>15</v>
      </c>
      <c r="J981">
        <v>500</v>
      </c>
      <c r="K981">
        <v>90.16</v>
      </c>
      <c r="L981">
        <v>409.84</v>
      </c>
      <c r="M981">
        <v>-34</v>
      </c>
      <c r="N981" t="s">
        <v>52</v>
      </c>
    </row>
    <row r="982" spans="1:14" x14ac:dyDescent="0.25">
      <c r="A982" t="s">
        <v>70</v>
      </c>
      <c r="B982">
        <v>337</v>
      </c>
      <c r="C982" s="1">
        <v>42789</v>
      </c>
      <c r="D982" t="s">
        <v>420</v>
      </c>
      <c r="E982" s="1">
        <v>42772</v>
      </c>
      <c r="F982">
        <v>0</v>
      </c>
      <c r="G982" s="1">
        <v>42790</v>
      </c>
      <c r="H982" s="1">
        <v>42824</v>
      </c>
      <c r="I982" t="s">
        <v>15</v>
      </c>
      <c r="J982" s="2">
        <v>1480</v>
      </c>
      <c r="K982">
        <v>266.89</v>
      </c>
      <c r="L982" s="2">
        <v>1213.1099999999999</v>
      </c>
      <c r="M982">
        <v>-34</v>
      </c>
      <c r="N982" t="s">
        <v>52</v>
      </c>
    </row>
    <row r="983" spans="1:14" x14ac:dyDescent="0.25">
      <c r="A983" t="s">
        <v>502</v>
      </c>
      <c r="B983">
        <v>1875</v>
      </c>
      <c r="C983" s="1">
        <v>43032</v>
      </c>
      <c r="D983" t="s">
        <v>503</v>
      </c>
      <c r="E983" s="1">
        <v>43007</v>
      </c>
      <c r="F983">
        <v>0</v>
      </c>
      <c r="G983" s="1">
        <v>43034</v>
      </c>
      <c r="H983" s="1">
        <v>43068</v>
      </c>
      <c r="I983" t="s">
        <v>15</v>
      </c>
      <c r="J983" s="2">
        <v>1140.7</v>
      </c>
      <c r="K983">
        <v>205.7</v>
      </c>
      <c r="L983">
        <v>935</v>
      </c>
      <c r="M983">
        <v>-34</v>
      </c>
      <c r="N983" t="s">
        <v>55</v>
      </c>
    </row>
    <row r="984" spans="1:14" x14ac:dyDescent="0.25">
      <c r="A984" t="s">
        <v>502</v>
      </c>
      <c r="B984">
        <v>1876</v>
      </c>
      <c r="C984" s="1">
        <v>43032</v>
      </c>
      <c r="D984" t="s">
        <v>503</v>
      </c>
      <c r="E984" s="1">
        <v>43007</v>
      </c>
      <c r="F984">
        <v>0</v>
      </c>
      <c r="G984" s="1">
        <v>43034</v>
      </c>
      <c r="H984" s="1">
        <v>43068</v>
      </c>
      <c r="I984" t="s">
        <v>15</v>
      </c>
      <c r="J984">
        <v>73.2</v>
      </c>
      <c r="K984">
        <v>13.2</v>
      </c>
      <c r="L984">
        <v>60</v>
      </c>
      <c r="M984">
        <v>-34</v>
      </c>
      <c r="N984" t="s">
        <v>55</v>
      </c>
    </row>
    <row r="985" spans="1:14" x14ac:dyDescent="0.25">
      <c r="A985" t="s">
        <v>461</v>
      </c>
      <c r="B985">
        <v>1404</v>
      </c>
      <c r="C985" s="1">
        <v>42942</v>
      </c>
      <c r="D985" s="5" t="s">
        <v>504</v>
      </c>
      <c r="E985" s="1">
        <v>42893</v>
      </c>
      <c r="F985">
        <v>0</v>
      </c>
      <c r="G985" s="1">
        <v>42943</v>
      </c>
      <c r="H985" s="1">
        <v>42977</v>
      </c>
      <c r="I985" t="s">
        <v>15</v>
      </c>
      <c r="J985">
        <v>109.56</v>
      </c>
      <c r="K985">
        <v>19.760000000000002</v>
      </c>
      <c r="L985">
        <v>89.8</v>
      </c>
      <c r="M985">
        <v>-34</v>
      </c>
      <c r="N985" t="s">
        <v>439</v>
      </c>
    </row>
    <row r="986" spans="1:14" x14ac:dyDescent="0.25">
      <c r="A986" t="s">
        <v>461</v>
      </c>
      <c r="B986">
        <v>1403</v>
      </c>
      <c r="C986" s="1">
        <v>42942</v>
      </c>
      <c r="D986" s="5" t="s">
        <v>505</v>
      </c>
      <c r="E986" s="1">
        <v>42893</v>
      </c>
      <c r="F986">
        <v>0</v>
      </c>
      <c r="G986" s="1">
        <v>42943</v>
      </c>
      <c r="H986" s="1">
        <v>42977</v>
      </c>
      <c r="I986" t="s">
        <v>15</v>
      </c>
      <c r="J986">
        <v>192.52</v>
      </c>
      <c r="K986">
        <v>34.72</v>
      </c>
      <c r="L986">
        <v>157.80000000000001</v>
      </c>
      <c r="M986">
        <v>-34</v>
      </c>
      <c r="N986" t="s">
        <v>439</v>
      </c>
    </row>
    <row r="987" spans="1:14" x14ac:dyDescent="0.25">
      <c r="A987" t="s">
        <v>461</v>
      </c>
      <c r="B987">
        <v>1402</v>
      </c>
      <c r="C987" s="1">
        <v>42942</v>
      </c>
      <c r="D987" t="str">
        <f>"4220417800028851"</f>
        <v>4220417800028851</v>
      </c>
      <c r="E987" s="1">
        <v>42893</v>
      </c>
      <c r="F987">
        <v>0</v>
      </c>
      <c r="G987" s="1">
        <v>42943</v>
      </c>
      <c r="H987" s="1">
        <v>42977</v>
      </c>
      <c r="I987" t="s">
        <v>15</v>
      </c>
      <c r="J987">
        <v>927.84</v>
      </c>
      <c r="K987">
        <v>258.38</v>
      </c>
      <c r="L987">
        <v>669.46</v>
      </c>
      <c r="M987">
        <v>-34</v>
      </c>
      <c r="N987" t="s">
        <v>72</v>
      </c>
    </row>
    <row r="988" spans="1:14" x14ac:dyDescent="0.25">
      <c r="A988" t="s">
        <v>241</v>
      </c>
      <c r="B988">
        <v>2232</v>
      </c>
      <c r="C988" s="1">
        <v>43075</v>
      </c>
      <c r="D988" t="s">
        <v>506</v>
      </c>
      <c r="E988" s="1">
        <v>43068</v>
      </c>
      <c r="F988">
        <v>0</v>
      </c>
      <c r="G988" s="1">
        <v>43075</v>
      </c>
      <c r="H988" s="1">
        <v>43110</v>
      </c>
      <c r="I988" t="s">
        <v>15</v>
      </c>
      <c r="J988">
        <v>226.92</v>
      </c>
      <c r="K988">
        <v>40.92</v>
      </c>
      <c r="L988">
        <v>186</v>
      </c>
      <c r="M988">
        <v>-35</v>
      </c>
      <c r="N988" t="s">
        <v>30</v>
      </c>
    </row>
    <row r="989" spans="1:14" x14ac:dyDescent="0.25">
      <c r="A989" t="s">
        <v>507</v>
      </c>
      <c r="B989">
        <v>1887</v>
      </c>
      <c r="C989" s="1">
        <v>43032</v>
      </c>
      <c r="D989" t="str">
        <f>"10000694"</f>
        <v>10000694</v>
      </c>
      <c r="E989" s="1">
        <v>43005</v>
      </c>
      <c r="F989">
        <v>0</v>
      </c>
      <c r="G989" s="1">
        <v>43034</v>
      </c>
      <c r="H989" s="1">
        <v>43069</v>
      </c>
      <c r="I989" t="s">
        <v>15</v>
      </c>
      <c r="J989">
        <v>365.37</v>
      </c>
      <c r="K989">
        <v>65.89</v>
      </c>
      <c r="L989">
        <v>299.48</v>
      </c>
      <c r="M989">
        <v>-35</v>
      </c>
      <c r="N989" t="s">
        <v>27</v>
      </c>
    </row>
    <row r="990" spans="1:14" x14ac:dyDescent="0.25">
      <c r="A990" t="s">
        <v>209</v>
      </c>
      <c r="B990">
        <v>1733</v>
      </c>
      <c r="C990" s="1">
        <v>43005</v>
      </c>
      <c r="D990" t="s">
        <v>475</v>
      </c>
      <c r="E990" s="1">
        <v>42984</v>
      </c>
      <c r="F990">
        <v>0</v>
      </c>
      <c r="G990" s="1">
        <v>43010</v>
      </c>
      <c r="H990" s="1">
        <v>43045</v>
      </c>
      <c r="I990" t="s">
        <v>15</v>
      </c>
      <c r="J990">
        <v>134</v>
      </c>
      <c r="K990">
        <v>24.16</v>
      </c>
      <c r="L990">
        <v>109.84</v>
      </c>
      <c r="M990">
        <v>-35</v>
      </c>
      <c r="N990" t="s">
        <v>59</v>
      </c>
    </row>
    <row r="991" spans="1:14" x14ac:dyDescent="0.25">
      <c r="A991" t="s">
        <v>209</v>
      </c>
      <c r="B991">
        <v>1736</v>
      </c>
      <c r="C991" s="1">
        <v>43005</v>
      </c>
      <c r="D991" t="s">
        <v>475</v>
      </c>
      <c r="E991" s="1">
        <v>42984</v>
      </c>
      <c r="F991">
        <v>0</v>
      </c>
      <c r="G991" s="1">
        <v>43010</v>
      </c>
      <c r="H991" s="1">
        <v>43045</v>
      </c>
      <c r="I991" t="s">
        <v>15</v>
      </c>
      <c r="J991">
        <v>134</v>
      </c>
      <c r="K991">
        <v>24.16</v>
      </c>
      <c r="L991">
        <v>109.84</v>
      </c>
      <c r="M991">
        <v>-35</v>
      </c>
      <c r="N991" t="s">
        <v>59</v>
      </c>
    </row>
    <row r="992" spans="1:14" x14ac:dyDescent="0.25">
      <c r="A992" t="s">
        <v>209</v>
      </c>
      <c r="B992">
        <v>1734</v>
      </c>
      <c r="C992" s="1">
        <v>43005</v>
      </c>
      <c r="D992" t="s">
        <v>475</v>
      </c>
      <c r="E992" s="1">
        <v>42984</v>
      </c>
      <c r="F992">
        <v>0</v>
      </c>
      <c r="G992" s="1">
        <v>43010</v>
      </c>
      <c r="H992" s="1">
        <v>43045</v>
      </c>
      <c r="I992" t="s">
        <v>15</v>
      </c>
      <c r="J992">
        <v>4</v>
      </c>
      <c r="K992">
        <v>0.72</v>
      </c>
      <c r="L992">
        <v>3.28</v>
      </c>
      <c r="M992">
        <v>-35</v>
      </c>
      <c r="N992" t="s">
        <v>59</v>
      </c>
    </row>
    <row r="993" spans="1:14" x14ac:dyDescent="0.25">
      <c r="A993" t="s">
        <v>209</v>
      </c>
      <c r="B993">
        <v>1732</v>
      </c>
      <c r="C993" s="1">
        <v>43005</v>
      </c>
      <c r="D993" t="s">
        <v>475</v>
      </c>
      <c r="E993" s="1">
        <v>42984</v>
      </c>
      <c r="F993">
        <v>0</v>
      </c>
      <c r="G993" s="1">
        <v>43010</v>
      </c>
      <c r="H993" s="1">
        <v>43045</v>
      </c>
      <c r="I993" t="s">
        <v>15</v>
      </c>
      <c r="J993">
        <v>100</v>
      </c>
      <c r="K993">
        <v>18.03</v>
      </c>
      <c r="L993">
        <v>81.97</v>
      </c>
      <c r="M993">
        <v>-35</v>
      </c>
      <c r="N993" t="s">
        <v>59</v>
      </c>
    </row>
    <row r="994" spans="1:14" x14ac:dyDescent="0.25">
      <c r="A994" t="s">
        <v>209</v>
      </c>
      <c r="B994">
        <v>1737</v>
      </c>
      <c r="C994" s="1">
        <v>43005</v>
      </c>
      <c r="D994" t="s">
        <v>475</v>
      </c>
      <c r="E994" s="1">
        <v>42984</v>
      </c>
      <c r="F994">
        <v>0</v>
      </c>
      <c r="G994" s="1">
        <v>43010</v>
      </c>
      <c r="H994" s="1">
        <v>43045</v>
      </c>
      <c r="I994" t="s">
        <v>15</v>
      </c>
      <c r="J994">
        <v>245.27</v>
      </c>
      <c r="K994">
        <v>44.24</v>
      </c>
      <c r="L994">
        <v>201.03</v>
      </c>
      <c r="M994">
        <v>-35</v>
      </c>
      <c r="N994" t="s">
        <v>59</v>
      </c>
    </row>
    <row r="995" spans="1:14" x14ac:dyDescent="0.25">
      <c r="A995" t="s">
        <v>209</v>
      </c>
      <c r="B995">
        <v>1735</v>
      </c>
      <c r="C995" s="1">
        <v>43005</v>
      </c>
      <c r="D995" t="s">
        <v>475</v>
      </c>
      <c r="E995" s="1">
        <v>42984</v>
      </c>
      <c r="F995">
        <v>0</v>
      </c>
      <c r="G995" s="1">
        <v>43010</v>
      </c>
      <c r="H995" s="1">
        <v>43045</v>
      </c>
      <c r="I995" t="s">
        <v>15</v>
      </c>
      <c r="J995">
        <v>100</v>
      </c>
      <c r="K995">
        <v>18.03</v>
      </c>
      <c r="L995">
        <v>81.97</v>
      </c>
      <c r="M995">
        <v>-35</v>
      </c>
      <c r="N995" t="s">
        <v>59</v>
      </c>
    </row>
    <row r="996" spans="1:14" x14ac:dyDescent="0.25">
      <c r="A996" t="s">
        <v>508</v>
      </c>
      <c r="B996">
        <v>400</v>
      </c>
      <c r="C996" s="1">
        <v>42801</v>
      </c>
      <c r="D996" t="s">
        <v>210</v>
      </c>
      <c r="E996" s="1">
        <v>42776</v>
      </c>
      <c r="F996">
        <v>0</v>
      </c>
      <c r="G996" s="1">
        <v>42804</v>
      </c>
      <c r="H996" s="1">
        <v>42839</v>
      </c>
      <c r="I996" t="s">
        <v>23</v>
      </c>
      <c r="J996" s="2">
        <v>3172</v>
      </c>
      <c r="K996">
        <v>0</v>
      </c>
      <c r="L996" s="2">
        <v>3172</v>
      </c>
      <c r="M996">
        <v>-35</v>
      </c>
      <c r="N996" t="s">
        <v>145</v>
      </c>
    </row>
    <row r="997" spans="1:14" x14ac:dyDescent="0.25">
      <c r="A997" t="s">
        <v>461</v>
      </c>
      <c r="B997">
        <v>571</v>
      </c>
      <c r="C997" s="1">
        <v>42821</v>
      </c>
      <c r="D997" t="str">
        <f>"4220417800007780"</f>
        <v>4220417800007780</v>
      </c>
      <c r="E997" s="1">
        <v>42772</v>
      </c>
      <c r="F997">
        <v>0</v>
      </c>
      <c r="G997" s="1">
        <v>42821</v>
      </c>
      <c r="H997" s="1">
        <v>42857</v>
      </c>
      <c r="I997" t="s">
        <v>15</v>
      </c>
      <c r="J997">
        <v>272.97000000000003</v>
      </c>
      <c r="K997">
        <v>49.22</v>
      </c>
      <c r="L997">
        <v>223.75</v>
      </c>
      <c r="M997">
        <v>-36</v>
      </c>
      <c r="N997" t="s">
        <v>72</v>
      </c>
    </row>
    <row r="998" spans="1:14" x14ac:dyDescent="0.25">
      <c r="A998" t="s">
        <v>461</v>
      </c>
      <c r="B998">
        <v>567</v>
      </c>
      <c r="C998" s="1">
        <v>42821</v>
      </c>
      <c r="D998" t="str">
        <f>"4220417800007780"</f>
        <v>4220417800007780</v>
      </c>
      <c r="E998" s="1">
        <v>42772</v>
      </c>
      <c r="F998">
        <v>0</v>
      </c>
      <c r="G998" s="1">
        <v>42821</v>
      </c>
      <c r="H998" s="1">
        <v>42857</v>
      </c>
      <c r="I998" t="s">
        <v>15</v>
      </c>
      <c r="J998">
        <v>57.73</v>
      </c>
      <c r="K998">
        <v>10.41</v>
      </c>
      <c r="L998">
        <v>47.32</v>
      </c>
      <c r="M998">
        <v>-36</v>
      </c>
      <c r="N998" t="s">
        <v>72</v>
      </c>
    </row>
    <row r="999" spans="1:14" x14ac:dyDescent="0.25">
      <c r="A999" t="s">
        <v>461</v>
      </c>
      <c r="B999">
        <v>568</v>
      </c>
      <c r="C999" s="1">
        <v>42821</v>
      </c>
      <c r="D999" t="str">
        <f>"4220417800007780"</f>
        <v>4220417800007780</v>
      </c>
      <c r="E999" s="1">
        <v>42772</v>
      </c>
      <c r="F999">
        <v>0</v>
      </c>
      <c r="G999" s="1">
        <v>42821</v>
      </c>
      <c r="H999" s="1">
        <v>42857</v>
      </c>
      <c r="I999" t="s">
        <v>15</v>
      </c>
      <c r="J999">
        <v>68.12</v>
      </c>
      <c r="K999">
        <v>12.28</v>
      </c>
      <c r="L999">
        <v>55.84</v>
      </c>
      <c r="M999">
        <v>-36</v>
      </c>
      <c r="N999" t="s">
        <v>72</v>
      </c>
    </row>
    <row r="1000" spans="1:14" x14ac:dyDescent="0.25">
      <c r="A1000" t="s">
        <v>461</v>
      </c>
      <c r="B1000">
        <v>572</v>
      </c>
      <c r="C1000" s="1">
        <v>42821</v>
      </c>
      <c r="D1000" t="str">
        <f>"4220417800007780"</f>
        <v>4220417800007780</v>
      </c>
      <c r="E1000" s="1">
        <v>42772</v>
      </c>
      <c r="F1000">
        <v>0</v>
      </c>
      <c r="G1000" s="1">
        <v>42821</v>
      </c>
      <c r="H1000" s="1">
        <v>42857</v>
      </c>
      <c r="I1000" t="s">
        <v>15</v>
      </c>
      <c r="J1000">
        <v>60.88</v>
      </c>
      <c r="K1000">
        <v>10.98</v>
      </c>
      <c r="L1000">
        <v>49.9</v>
      </c>
      <c r="M1000">
        <v>-36</v>
      </c>
      <c r="N1000" t="s">
        <v>72</v>
      </c>
    </row>
    <row r="1001" spans="1:14" x14ac:dyDescent="0.25">
      <c r="A1001" t="s">
        <v>461</v>
      </c>
      <c r="B1001">
        <v>563</v>
      </c>
      <c r="C1001" s="1">
        <v>42821</v>
      </c>
      <c r="D1001" s="5" t="s">
        <v>509</v>
      </c>
      <c r="E1001" s="1">
        <v>42772</v>
      </c>
      <c r="F1001">
        <v>0</v>
      </c>
      <c r="G1001" s="1">
        <v>42821</v>
      </c>
      <c r="H1001" s="1">
        <v>42857</v>
      </c>
      <c r="I1001" t="s">
        <v>15</v>
      </c>
      <c r="J1001">
        <v>168.12</v>
      </c>
      <c r="K1001">
        <v>30.32</v>
      </c>
      <c r="L1001">
        <v>137.80000000000001</v>
      </c>
      <c r="M1001">
        <v>-36</v>
      </c>
      <c r="N1001" t="s">
        <v>439</v>
      </c>
    </row>
    <row r="1002" spans="1:14" x14ac:dyDescent="0.25">
      <c r="A1002" t="s">
        <v>461</v>
      </c>
      <c r="B1002">
        <v>569</v>
      </c>
      <c r="C1002" s="1">
        <v>42821</v>
      </c>
      <c r="D1002" t="str">
        <f>"4220417800007780"</f>
        <v>4220417800007780</v>
      </c>
      <c r="E1002" s="1">
        <v>42772</v>
      </c>
      <c r="F1002">
        <v>0</v>
      </c>
      <c r="G1002" s="1">
        <v>42821</v>
      </c>
      <c r="H1002" s="1">
        <v>42857</v>
      </c>
      <c r="I1002" t="s">
        <v>15</v>
      </c>
      <c r="J1002">
        <v>220.25</v>
      </c>
      <c r="K1002">
        <v>39.72</v>
      </c>
      <c r="L1002">
        <v>180.53</v>
      </c>
      <c r="M1002">
        <v>-36</v>
      </c>
      <c r="N1002" t="s">
        <v>72</v>
      </c>
    </row>
    <row r="1003" spans="1:14" x14ac:dyDescent="0.25">
      <c r="A1003" t="s">
        <v>461</v>
      </c>
      <c r="B1003">
        <v>566</v>
      </c>
      <c r="C1003" s="1">
        <v>42821</v>
      </c>
      <c r="D1003" t="str">
        <f>"4220417800007780"</f>
        <v>4220417800007780</v>
      </c>
      <c r="E1003" s="1">
        <v>42772</v>
      </c>
      <c r="F1003">
        <v>0</v>
      </c>
      <c r="G1003" s="1">
        <v>42821</v>
      </c>
      <c r="H1003" s="1">
        <v>42857</v>
      </c>
      <c r="I1003" t="s">
        <v>15</v>
      </c>
      <c r="J1003">
        <v>163.25</v>
      </c>
      <c r="K1003">
        <v>29.44</v>
      </c>
      <c r="L1003">
        <v>133.81</v>
      </c>
      <c r="M1003">
        <v>-36</v>
      </c>
      <c r="N1003" t="s">
        <v>72</v>
      </c>
    </row>
    <row r="1004" spans="1:14" x14ac:dyDescent="0.25">
      <c r="A1004" t="s">
        <v>461</v>
      </c>
      <c r="B1004">
        <v>570</v>
      </c>
      <c r="C1004" s="1">
        <v>42821</v>
      </c>
      <c r="D1004" t="str">
        <f>"4220417800007780"</f>
        <v>4220417800007780</v>
      </c>
      <c r="E1004" s="1">
        <v>42772</v>
      </c>
      <c r="F1004">
        <v>0</v>
      </c>
      <c r="G1004" s="1">
        <v>42821</v>
      </c>
      <c r="H1004" s="1">
        <v>42857</v>
      </c>
      <c r="I1004" t="s">
        <v>15</v>
      </c>
      <c r="J1004">
        <v>64.38</v>
      </c>
      <c r="K1004">
        <v>11.61</v>
      </c>
      <c r="L1004">
        <v>52.77</v>
      </c>
      <c r="M1004">
        <v>-36</v>
      </c>
      <c r="N1004" t="s">
        <v>72</v>
      </c>
    </row>
    <row r="1005" spans="1:14" x14ac:dyDescent="0.25">
      <c r="A1005" t="s">
        <v>461</v>
      </c>
      <c r="B1005">
        <v>564</v>
      </c>
      <c r="C1005" s="1">
        <v>42821</v>
      </c>
      <c r="D1005" s="5" t="s">
        <v>510</v>
      </c>
      <c r="E1005" s="1">
        <v>42772</v>
      </c>
      <c r="F1005">
        <v>0</v>
      </c>
      <c r="G1005" s="1">
        <v>42821</v>
      </c>
      <c r="H1005" s="1">
        <v>42857</v>
      </c>
      <c r="I1005" t="s">
        <v>15</v>
      </c>
      <c r="J1005">
        <v>85.16</v>
      </c>
      <c r="K1005">
        <v>15.36</v>
      </c>
      <c r="L1005">
        <v>69.8</v>
      </c>
      <c r="M1005">
        <v>-36</v>
      </c>
      <c r="N1005" t="s">
        <v>439</v>
      </c>
    </row>
    <row r="1006" spans="1:14" x14ac:dyDescent="0.25">
      <c r="A1006" t="s">
        <v>461</v>
      </c>
      <c r="B1006">
        <v>565</v>
      </c>
      <c r="C1006" s="1">
        <v>42821</v>
      </c>
      <c r="D1006" t="str">
        <f>"4220417800007780"</f>
        <v>4220417800007780</v>
      </c>
      <c r="E1006" s="1">
        <v>42772</v>
      </c>
      <c r="F1006">
        <v>0</v>
      </c>
      <c r="G1006" s="1">
        <v>42821</v>
      </c>
      <c r="H1006" s="1">
        <v>42857</v>
      </c>
      <c r="I1006" t="s">
        <v>15</v>
      </c>
      <c r="J1006">
        <v>891.49</v>
      </c>
      <c r="K1006">
        <v>160.76</v>
      </c>
      <c r="L1006">
        <v>730.73</v>
      </c>
      <c r="M1006">
        <v>-36</v>
      </c>
      <c r="N1006" t="s">
        <v>72</v>
      </c>
    </row>
    <row r="1007" spans="1:14" x14ac:dyDescent="0.25">
      <c r="A1007" t="s">
        <v>490</v>
      </c>
      <c r="B1007">
        <v>990</v>
      </c>
      <c r="C1007" s="1">
        <v>42895</v>
      </c>
      <c r="D1007" t="str">
        <f>"270206302545111"</f>
        <v>270206302545111</v>
      </c>
      <c r="E1007" s="1">
        <v>42865</v>
      </c>
      <c r="F1007">
        <v>0</v>
      </c>
      <c r="G1007" s="1">
        <v>42895</v>
      </c>
      <c r="H1007" s="1">
        <v>42931</v>
      </c>
      <c r="I1007" t="s">
        <v>23</v>
      </c>
      <c r="J1007">
        <v>37.5</v>
      </c>
      <c r="K1007">
        <v>6.76</v>
      </c>
      <c r="L1007">
        <v>30.74</v>
      </c>
      <c r="M1007">
        <v>-36</v>
      </c>
      <c r="N1007" t="s">
        <v>491</v>
      </c>
    </row>
    <row r="1008" spans="1:14" x14ac:dyDescent="0.25">
      <c r="A1008" t="s">
        <v>326</v>
      </c>
      <c r="B1008">
        <v>780</v>
      </c>
      <c r="C1008" s="1">
        <v>42849</v>
      </c>
      <c r="D1008" t="s">
        <v>511</v>
      </c>
      <c r="E1008" s="1">
        <v>42825</v>
      </c>
      <c r="F1008">
        <v>0</v>
      </c>
      <c r="G1008" s="1">
        <v>42849</v>
      </c>
      <c r="H1008" s="1">
        <v>42886</v>
      </c>
      <c r="I1008" t="s">
        <v>15</v>
      </c>
      <c r="J1008" s="2">
        <v>1781.09</v>
      </c>
      <c r="K1008">
        <v>0</v>
      </c>
      <c r="L1008" s="2">
        <v>1781.09</v>
      </c>
      <c r="M1008">
        <v>-37</v>
      </c>
      <c r="N1008" t="s">
        <v>52</v>
      </c>
    </row>
    <row r="1009" spans="1:14" x14ac:dyDescent="0.25">
      <c r="A1009" t="s">
        <v>512</v>
      </c>
      <c r="B1009">
        <v>254</v>
      </c>
      <c r="C1009" s="1">
        <v>42776</v>
      </c>
      <c r="D1009" t="s">
        <v>513</v>
      </c>
      <c r="E1009" s="1">
        <v>42737</v>
      </c>
      <c r="F1009">
        <v>0</v>
      </c>
      <c r="G1009" s="1">
        <v>42776</v>
      </c>
      <c r="H1009" s="1">
        <v>42813</v>
      </c>
      <c r="I1009" t="s">
        <v>23</v>
      </c>
      <c r="J1009">
        <v>268.02999999999997</v>
      </c>
      <c r="K1009">
        <v>48.33</v>
      </c>
      <c r="L1009">
        <v>219.7</v>
      </c>
      <c r="M1009">
        <v>-37</v>
      </c>
      <c r="N1009" t="s">
        <v>72</v>
      </c>
    </row>
    <row r="1010" spans="1:14" x14ac:dyDescent="0.25">
      <c r="A1010" t="s">
        <v>514</v>
      </c>
      <c r="B1010">
        <v>1943</v>
      </c>
      <c r="C1010" s="1">
        <v>43034</v>
      </c>
      <c r="D1010" t="s">
        <v>515</v>
      </c>
      <c r="E1010" s="1">
        <v>43007</v>
      </c>
      <c r="F1010">
        <v>0</v>
      </c>
      <c r="G1010" s="1">
        <v>43034</v>
      </c>
      <c r="H1010" s="1">
        <v>43071</v>
      </c>
      <c r="I1010" t="s">
        <v>23</v>
      </c>
      <c r="J1010">
        <v>29</v>
      </c>
      <c r="K1010">
        <v>0</v>
      </c>
      <c r="L1010">
        <v>29</v>
      </c>
      <c r="M1010">
        <v>-37</v>
      </c>
      <c r="N1010" t="s">
        <v>16</v>
      </c>
    </row>
    <row r="1011" spans="1:14" x14ac:dyDescent="0.25">
      <c r="A1011" t="s">
        <v>514</v>
      </c>
      <c r="B1011">
        <v>1944</v>
      </c>
      <c r="C1011" s="1">
        <v>43034</v>
      </c>
      <c r="D1011" t="s">
        <v>515</v>
      </c>
      <c r="E1011" s="1">
        <v>43007</v>
      </c>
      <c r="F1011">
        <v>0</v>
      </c>
      <c r="G1011" s="1">
        <v>43034</v>
      </c>
      <c r="H1011" s="1">
        <v>43071</v>
      </c>
      <c r="I1011" t="s">
        <v>23</v>
      </c>
      <c r="J1011" s="2">
        <v>5823.08</v>
      </c>
      <c r="K1011">
        <v>0</v>
      </c>
      <c r="L1011" s="2">
        <v>5823.08</v>
      </c>
      <c r="M1011">
        <v>-37</v>
      </c>
      <c r="N1011" t="s">
        <v>16</v>
      </c>
    </row>
    <row r="1012" spans="1:14" x14ac:dyDescent="0.25">
      <c r="A1012" t="s">
        <v>119</v>
      </c>
      <c r="B1012">
        <v>862</v>
      </c>
      <c r="C1012" s="1">
        <v>42871</v>
      </c>
      <c r="D1012" t="s">
        <v>448</v>
      </c>
      <c r="E1012" s="1">
        <v>42851</v>
      </c>
      <c r="F1012">
        <v>0</v>
      </c>
      <c r="G1012" s="1">
        <v>42873</v>
      </c>
      <c r="H1012" s="1">
        <v>42911</v>
      </c>
      <c r="I1012" t="s">
        <v>23</v>
      </c>
      <c r="J1012" s="2">
        <v>43425.38</v>
      </c>
      <c r="K1012">
        <v>0</v>
      </c>
      <c r="L1012" s="2">
        <v>43425.38</v>
      </c>
      <c r="M1012">
        <v>-38</v>
      </c>
      <c r="N1012" t="s">
        <v>121</v>
      </c>
    </row>
    <row r="1013" spans="1:14" x14ac:dyDescent="0.25">
      <c r="A1013" t="s">
        <v>126</v>
      </c>
      <c r="B1013">
        <v>1571</v>
      </c>
      <c r="C1013" s="1">
        <v>42971</v>
      </c>
      <c r="D1013" t="s">
        <v>516</v>
      </c>
      <c r="E1013" s="1">
        <v>42947</v>
      </c>
      <c r="F1013">
        <v>0</v>
      </c>
      <c r="G1013" s="1">
        <v>42972</v>
      </c>
      <c r="H1013" s="1">
        <v>43011</v>
      </c>
      <c r="I1013" t="s">
        <v>23</v>
      </c>
      <c r="J1013">
        <v>610</v>
      </c>
      <c r="K1013">
        <v>110</v>
      </c>
      <c r="L1013">
        <v>500</v>
      </c>
      <c r="M1013">
        <v>-39</v>
      </c>
      <c r="N1013" t="s">
        <v>101</v>
      </c>
    </row>
    <row r="1014" spans="1:14" x14ac:dyDescent="0.25">
      <c r="A1014" t="s">
        <v>517</v>
      </c>
      <c r="B1014">
        <v>858</v>
      </c>
      <c r="C1014" s="1">
        <v>42871</v>
      </c>
      <c r="D1014" t="s">
        <v>518</v>
      </c>
      <c r="E1014" s="1">
        <v>42822</v>
      </c>
      <c r="F1014">
        <v>0</v>
      </c>
      <c r="G1014" s="1">
        <v>42873</v>
      </c>
      <c r="H1014" s="1">
        <v>42912</v>
      </c>
      <c r="I1014" t="s">
        <v>23</v>
      </c>
      <c r="J1014">
        <v>84.18</v>
      </c>
      <c r="K1014">
        <v>15.18</v>
      </c>
      <c r="L1014">
        <v>69</v>
      </c>
      <c r="M1014">
        <v>-39</v>
      </c>
      <c r="N1014" t="s">
        <v>20</v>
      </c>
    </row>
    <row r="1015" spans="1:14" x14ac:dyDescent="0.25">
      <c r="A1015" t="s">
        <v>438</v>
      </c>
      <c r="B1015">
        <v>390</v>
      </c>
      <c r="C1015" s="1">
        <v>42801</v>
      </c>
      <c r="D1015" t="str">
        <f>"0000003509"</f>
        <v>0000003509</v>
      </c>
      <c r="E1015" s="1">
        <v>42783</v>
      </c>
      <c r="F1015">
        <v>0</v>
      </c>
      <c r="G1015" s="1">
        <v>42804</v>
      </c>
      <c r="H1015" s="1">
        <v>42843</v>
      </c>
      <c r="I1015" t="s">
        <v>15</v>
      </c>
      <c r="J1015">
        <v>69.81</v>
      </c>
      <c r="K1015">
        <v>12.59</v>
      </c>
      <c r="L1015">
        <v>57.22</v>
      </c>
      <c r="M1015">
        <v>-39</v>
      </c>
      <c r="N1015" t="s">
        <v>27</v>
      </c>
    </row>
    <row r="1016" spans="1:14" x14ac:dyDescent="0.25">
      <c r="A1016" t="s">
        <v>438</v>
      </c>
      <c r="B1016">
        <v>394</v>
      </c>
      <c r="C1016" s="1">
        <v>42801</v>
      </c>
      <c r="D1016" t="str">
        <f>"0000003506"</f>
        <v>0000003506</v>
      </c>
      <c r="E1016" s="1">
        <v>42783</v>
      </c>
      <c r="F1016">
        <v>0</v>
      </c>
      <c r="G1016" s="1">
        <v>42804</v>
      </c>
      <c r="H1016" s="1">
        <v>42843</v>
      </c>
      <c r="I1016" t="s">
        <v>15</v>
      </c>
      <c r="J1016">
        <v>69.81</v>
      </c>
      <c r="K1016">
        <v>12.59</v>
      </c>
      <c r="L1016">
        <v>57.22</v>
      </c>
      <c r="M1016">
        <v>-39</v>
      </c>
      <c r="N1016" t="s">
        <v>27</v>
      </c>
    </row>
    <row r="1017" spans="1:14" x14ac:dyDescent="0.25">
      <c r="A1017" t="s">
        <v>438</v>
      </c>
      <c r="B1017">
        <v>389</v>
      </c>
      <c r="C1017" s="1">
        <v>42801</v>
      </c>
      <c r="D1017" t="str">
        <f>"0000003508"</f>
        <v>0000003508</v>
      </c>
      <c r="E1017" s="1">
        <v>42783</v>
      </c>
      <c r="F1017">
        <v>0</v>
      </c>
      <c r="G1017" s="1">
        <v>42804</v>
      </c>
      <c r="H1017" s="1">
        <v>42843</v>
      </c>
      <c r="I1017" t="s">
        <v>15</v>
      </c>
      <c r="J1017">
        <v>69.81</v>
      </c>
      <c r="K1017">
        <v>12.59</v>
      </c>
      <c r="L1017">
        <v>57.22</v>
      </c>
      <c r="M1017">
        <v>-39</v>
      </c>
      <c r="N1017" t="s">
        <v>27</v>
      </c>
    </row>
    <row r="1018" spans="1:14" x14ac:dyDescent="0.25">
      <c r="A1018" t="s">
        <v>438</v>
      </c>
      <c r="B1018">
        <v>395</v>
      </c>
      <c r="C1018" s="1">
        <v>42801</v>
      </c>
      <c r="D1018" t="str">
        <f>"0000003507"</f>
        <v>0000003507</v>
      </c>
      <c r="E1018" s="1">
        <v>42783</v>
      </c>
      <c r="F1018">
        <v>0</v>
      </c>
      <c r="G1018" s="1">
        <v>42804</v>
      </c>
      <c r="H1018" s="1">
        <v>42843</v>
      </c>
      <c r="I1018" t="s">
        <v>15</v>
      </c>
      <c r="J1018">
        <v>68.77</v>
      </c>
      <c r="K1018">
        <v>12.4</v>
      </c>
      <c r="L1018">
        <v>56.37</v>
      </c>
      <c r="M1018">
        <v>-39</v>
      </c>
      <c r="N1018" t="s">
        <v>27</v>
      </c>
    </row>
    <row r="1019" spans="1:14" x14ac:dyDescent="0.25">
      <c r="A1019" t="s">
        <v>438</v>
      </c>
      <c r="B1019">
        <v>391</v>
      </c>
      <c r="C1019" s="1">
        <v>42801</v>
      </c>
      <c r="D1019" t="str">
        <f>"0000003510"</f>
        <v>0000003510</v>
      </c>
      <c r="E1019" s="1">
        <v>42783</v>
      </c>
      <c r="F1019">
        <v>0</v>
      </c>
      <c r="G1019" s="1">
        <v>42804</v>
      </c>
      <c r="H1019" s="1">
        <v>42843</v>
      </c>
      <c r="I1019" t="s">
        <v>15</v>
      </c>
      <c r="J1019">
        <v>66.44</v>
      </c>
      <c r="K1019">
        <v>11.98</v>
      </c>
      <c r="L1019">
        <v>54.46</v>
      </c>
      <c r="M1019">
        <v>-39</v>
      </c>
      <c r="N1019" t="s">
        <v>27</v>
      </c>
    </row>
    <row r="1020" spans="1:14" x14ac:dyDescent="0.25">
      <c r="A1020" t="s">
        <v>438</v>
      </c>
      <c r="B1020">
        <v>393</v>
      </c>
      <c r="C1020" s="1">
        <v>42801</v>
      </c>
      <c r="D1020" t="str">
        <f>"0000003505"</f>
        <v>0000003505</v>
      </c>
      <c r="E1020" s="1">
        <v>42783</v>
      </c>
      <c r="F1020">
        <v>0</v>
      </c>
      <c r="G1020" s="1">
        <v>42804</v>
      </c>
      <c r="H1020" s="1">
        <v>42843</v>
      </c>
      <c r="I1020" t="s">
        <v>15</v>
      </c>
      <c r="J1020">
        <v>69.81</v>
      </c>
      <c r="K1020">
        <v>12.59</v>
      </c>
      <c r="L1020">
        <v>57.22</v>
      </c>
      <c r="M1020">
        <v>-39</v>
      </c>
      <c r="N1020" t="s">
        <v>27</v>
      </c>
    </row>
    <row r="1021" spans="1:14" x14ac:dyDescent="0.25">
      <c r="A1021" t="s">
        <v>438</v>
      </c>
      <c r="B1021">
        <v>392</v>
      </c>
      <c r="C1021" s="1">
        <v>42801</v>
      </c>
      <c r="D1021" t="str">
        <f>"0000003504"</f>
        <v>0000003504</v>
      </c>
      <c r="E1021" s="1">
        <v>42783</v>
      </c>
      <c r="F1021">
        <v>0</v>
      </c>
      <c r="G1021" s="1">
        <v>42804</v>
      </c>
      <c r="H1021" s="1">
        <v>42843</v>
      </c>
      <c r="I1021" t="s">
        <v>15</v>
      </c>
      <c r="J1021">
        <v>91.26</v>
      </c>
      <c r="K1021">
        <v>16.46</v>
      </c>
      <c r="L1021">
        <v>74.8</v>
      </c>
      <c r="M1021">
        <v>-39</v>
      </c>
      <c r="N1021" t="s">
        <v>27</v>
      </c>
    </row>
    <row r="1022" spans="1:14" x14ac:dyDescent="0.25">
      <c r="A1022" t="s">
        <v>438</v>
      </c>
      <c r="B1022">
        <v>388</v>
      </c>
      <c r="C1022" s="1">
        <v>42801</v>
      </c>
      <c r="D1022" t="str">
        <f>"0000003507"</f>
        <v>0000003507</v>
      </c>
      <c r="E1022" s="1">
        <v>42783</v>
      </c>
      <c r="F1022">
        <v>0</v>
      </c>
      <c r="G1022" s="1">
        <v>42804</v>
      </c>
      <c r="H1022" s="1">
        <v>42843</v>
      </c>
      <c r="I1022" t="s">
        <v>15</v>
      </c>
      <c r="J1022">
        <v>1.04</v>
      </c>
      <c r="K1022">
        <v>0.19</v>
      </c>
      <c r="L1022">
        <v>0.85</v>
      </c>
      <c r="M1022">
        <v>-39</v>
      </c>
      <c r="N1022" t="s">
        <v>27</v>
      </c>
    </row>
    <row r="1023" spans="1:14" x14ac:dyDescent="0.25">
      <c r="A1023" t="s">
        <v>519</v>
      </c>
      <c r="B1023">
        <v>604</v>
      </c>
      <c r="C1023" s="1">
        <v>42830</v>
      </c>
      <c r="D1023" t="s">
        <v>520</v>
      </c>
      <c r="E1023" s="1">
        <v>42811</v>
      </c>
      <c r="F1023">
        <v>0</v>
      </c>
      <c r="G1023" s="1">
        <v>42832</v>
      </c>
      <c r="H1023" s="1">
        <v>42871</v>
      </c>
      <c r="I1023" t="s">
        <v>23</v>
      </c>
      <c r="J1023" s="2">
        <v>3393.41</v>
      </c>
      <c r="K1023">
        <v>0</v>
      </c>
      <c r="L1023" s="2">
        <v>3393.41</v>
      </c>
      <c r="M1023">
        <v>-39</v>
      </c>
      <c r="N1023" t="s">
        <v>145</v>
      </c>
    </row>
    <row r="1024" spans="1:14" x14ac:dyDescent="0.25">
      <c r="A1024" t="s">
        <v>130</v>
      </c>
      <c r="B1024">
        <v>2118</v>
      </c>
      <c r="C1024" s="1">
        <v>43066</v>
      </c>
      <c r="D1024" t="s">
        <v>521</v>
      </c>
      <c r="E1024" s="1">
        <v>43041</v>
      </c>
      <c r="F1024">
        <v>0</v>
      </c>
      <c r="G1024" s="1">
        <v>43067</v>
      </c>
      <c r="H1024" s="1">
        <v>43107</v>
      </c>
      <c r="I1024" t="s">
        <v>23</v>
      </c>
      <c r="J1024" s="2">
        <v>1108.8</v>
      </c>
      <c r="K1024">
        <v>29.99</v>
      </c>
      <c r="L1024" s="2">
        <v>1078.81</v>
      </c>
      <c r="M1024">
        <v>-40</v>
      </c>
      <c r="N1024" t="s">
        <v>291</v>
      </c>
    </row>
    <row r="1025" spans="1:14" x14ac:dyDescent="0.25">
      <c r="A1025" t="s">
        <v>209</v>
      </c>
      <c r="B1025">
        <v>1438</v>
      </c>
      <c r="C1025" s="1">
        <v>42956</v>
      </c>
      <c r="D1025" t="s">
        <v>168</v>
      </c>
      <c r="E1025" s="1">
        <v>42935</v>
      </c>
      <c r="F1025">
        <v>0</v>
      </c>
      <c r="G1025" s="1">
        <v>42957</v>
      </c>
      <c r="H1025" s="1">
        <v>42997</v>
      </c>
      <c r="I1025" t="s">
        <v>15</v>
      </c>
      <c r="J1025">
        <v>290.88</v>
      </c>
      <c r="K1025">
        <v>52.45</v>
      </c>
      <c r="L1025">
        <v>238.43</v>
      </c>
      <c r="M1025">
        <v>-40</v>
      </c>
      <c r="N1025" t="s">
        <v>59</v>
      </c>
    </row>
    <row r="1026" spans="1:14" x14ac:dyDescent="0.25">
      <c r="A1026" t="s">
        <v>209</v>
      </c>
      <c r="B1026">
        <v>1437</v>
      </c>
      <c r="C1026" s="1">
        <v>42956</v>
      </c>
      <c r="D1026" t="s">
        <v>420</v>
      </c>
      <c r="E1026" s="1">
        <v>42935</v>
      </c>
      <c r="F1026">
        <v>0</v>
      </c>
      <c r="G1026" s="1">
        <v>42957</v>
      </c>
      <c r="H1026" s="1">
        <v>42997</v>
      </c>
      <c r="I1026" t="s">
        <v>15</v>
      </c>
      <c r="J1026">
        <v>508.75</v>
      </c>
      <c r="K1026">
        <v>91.74</v>
      </c>
      <c r="L1026">
        <v>417.01</v>
      </c>
      <c r="M1026">
        <v>-40</v>
      </c>
      <c r="N1026" t="s">
        <v>59</v>
      </c>
    </row>
    <row r="1027" spans="1:14" x14ac:dyDescent="0.25">
      <c r="A1027" t="s">
        <v>209</v>
      </c>
      <c r="B1027">
        <v>1436</v>
      </c>
      <c r="C1027" s="1">
        <v>42956</v>
      </c>
      <c r="D1027" t="s">
        <v>168</v>
      </c>
      <c r="E1027" s="1">
        <v>42935</v>
      </c>
      <c r="F1027">
        <v>0</v>
      </c>
      <c r="G1027" s="1">
        <v>42957</v>
      </c>
      <c r="H1027" s="1">
        <v>42997</v>
      </c>
      <c r="I1027" t="s">
        <v>15</v>
      </c>
      <c r="J1027">
        <v>63.99</v>
      </c>
      <c r="K1027">
        <v>11.54</v>
      </c>
      <c r="L1027">
        <v>52.45</v>
      </c>
      <c r="M1027">
        <v>-40</v>
      </c>
      <c r="N1027" t="s">
        <v>59</v>
      </c>
    </row>
    <row r="1028" spans="1:14" x14ac:dyDescent="0.25">
      <c r="A1028" t="s">
        <v>470</v>
      </c>
      <c r="B1028">
        <v>179</v>
      </c>
      <c r="C1028" s="1">
        <v>42765</v>
      </c>
      <c r="D1028" t="str">
        <f>"1"</f>
        <v>1</v>
      </c>
      <c r="E1028" s="1">
        <v>42744</v>
      </c>
      <c r="F1028">
        <v>0</v>
      </c>
      <c r="G1028" s="1">
        <v>42765</v>
      </c>
      <c r="H1028" s="1">
        <v>42805</v>
      </c>
      <c r="I1028" t="s">
        <v>23</v>
      </c>
      <c r="J1028" s="2">
        <v>2000</v>
      </c>
      <c r="K1028">
        <v>360.66</v>
      </c>
      <c r="L1028" s="2">
        <v>1639.34</v>
      </c>
      <c r="M1028">
        <v>-40</v>
      </c>
      <c r="N1028" t="s">
        <v>101</v>
      </c>
    </row>
    <row r="1029" spans="1:14" x14ac:dyDescent="0.25">
      <c r="A1029" t="s">
        <v>522</v>
      </c>
      <c r="B1029">
        <v>1135</v>
      </c>
      <c r="C1029" s="1">
        <v>42913</v>
      </c>
      <c r="D1029" t="str">
        <f>"0052513707"</f>
        <v>0052513707</v>
      </c>
      <c r="E1029" s="1">
        <v>42891</v>
      </c>
      <c r="F1029">
        <v>0</v>
      </c>
      <c r="G1029" s="1">
        <v>42914</v>
      </c>
      <c r="H1029" s="1">
        <v>42954</v>
      </c>
      <c r="I1029" t="s">
        <v>23</v>
      </c>
      <c r="J1029">
        <v>833.28</v>
      </c>
      <c r="K1029">
        <v>133.44</v>
      </c>
      <c r="L1029">
        <v>699.84</v>
      </c>
      <c r="M1029">
        <v>-40</v>
      </c>
      <c r="N1029" t="s">
        <v>78</v>
      </c>
    </row>
    <row r="1030" spans="1:14" x14ac:dyDescent="0.25">
      <c r="A1030" t="s">
        <v>123</v>
      </c>
      <c r="B1030">
        <v>748</v>
      </c>
      <c r="C1030" s="1">
        <v>42846</v>
      </c>
      <c r="D1030" t="s">
        <v>480</v>
      </c>
      <c r="E1030" s="1">
        <v>42825</v>
      </c>
      <c r="F1030">
        <v>0</v>
      </c>
      <c r="G1030" s="1">
        <v>42846</v>
      </c>
      <c r="H1030" s="1">
        <v>42886</v>
      </c>
      <c r="I1030" t="s">
        <v>15</v>
      </c>
      <c r="J1030" s="2">
        <v>2500</v>
      </c>
      <c r="K1030">
        <v>0</v>
      </c>
      <c r="L1030" s="2">
        <v>2500</v>
      </c>
      <c r="M1030">
        <v>-40</v>
      </c>
      <c r="N1030" t="s">
        <v>359</v>
      </c>
    </row>
    <row r="1031" spans="1:14" x14ac:dyDescent="0.25">
      <c r="A1031" t="s">
        <v>73</v>
      </c>
      <c r="B1031">
        <v>431</v>
      </c>
      <c r="C1031" s="1">
        <v>42802</v>
      </c>
      <c r="D1031" t="str">
        <f>"0002106095"</f>
        <v>0002106095</v>
      </c>
      <c r="E1031" s="1">
        <v>42786</v>
      </c>
      <c r="F1031">
        <v>0</v>
      </c>
      <c r="G1031" s="1">
        <v>42804</v>
      </c>
      <c r="H1031" s="1">
        <v>42845</v>
      </c>
      <c r="I1031" t="s">
        <v>15</v>
      </c>
      <c r="J1031">
        <v>122</v>
      </c>
      <c r="K1031">
        <v>22</v>
      </c>
      <c r="L1031">
        <v>100</v>
      </c>
      <c r="M1031">
        <v>-41</v>
      </c>
      <c r="N1031" t="s">
        <v>27</v>
      </c>
    </row>
    <row r="1032" spans="1:14" x14ac:dyDescent="0.25">
      <c r="A1032" t="s">
        <v>73</v>
      </c>
      <c r="B1032">
        <v>432</v>
      </c>
      <c r="C1032" s="1">
        <v>42802</v>
      </c>
      <c r="D1032" t="str">
        <f>"0002106095"</f>
        <v>0002106095</v>
      </c>
      <c r="E1032" s="1">
        <v>42786</v>
      </c>
      <c r="F1032">
        <v>0</v>
      </c>
      <c r="G1032" s="1">
        <v>42804</v>
      </c>
      <c r="H1032" s="1">
        <v>42845</v>
      </c>
      <c r="I1032" t="s">
        <v>15</v>
      </c>
      <c r="J1032">
        <v>122</v>
      </c>
      <c r="K1032">
        <v>22</v>
      </c>
      <c r="L1032">
        <v>100</v>
      </c>
      <c r="M1032">
        <v>-41</v>
      </c>
      <c r="N1032" t="s">
        <v>27</v>
      </c>
    </row>
    <row r="1033" spans="1:14" x14ac:dyDescent="0.25">
      <c r="A1033" t="s">
        <v>523</v>
      </c>
      <c r="B1033">
        <v>2202</v>
      </c>
      <c r="C1033" s="1">
        <v>43075</v>
      </c>
      <c r="D1033" t="s">
        <v>524</v>
      </c>
      <c r="E1033" s="1">
        <v>43049</v>
      </c>
      <c r="F1033">
        <v>0</v>
      </c>
      <c r="G1033" s="1">
        <v>43075</v>
      </c>
      <c r="H1033" s="1">
        <v>43116</v>
      </c>
      <c r="I1033" t="s">
        <v>23</v>
      </c>
      <c r="J1033">
        <v>66.88</v>
      </c>
      <c r="K1033">
        <v>10.220000000000001</v>
      </c>
      <c r="L1033">
        <v>56.66</v>
      </c>
      <c r="M1033">
        <v>-41</v>
      </c>
      <c r="N1033" t="s">
        <v>359</v>
      </c>
    </row>
    <row r="1034" spans="1:14" x14ac:dyDescent="0.25">
      <c r="A1034" t="s">
        <v>424</v>
      </c>
      <c r="B1034">
        <v>2143</v>
      </c>
      <c r="C1034" s="1">
        <v>43067</v>
      </c>
      <c r="D1034" t="s">
        <v>525</v>
      </c>
      <c r="E1034" s="1">
        <v>43039</v>
      </c>
      <c r="F1034">
        <v>0</v>
      </c>
      <c r="G1034" s="1">
        <v>43067</v>
      </c>
      <c r="H1034" s="1">
        <v>43108</v>
      </c>
      <c r="I1034" t="s">
        <v>15</v>
      </c>
      <c r="J1034">
        <v>140</v>
      </c>
      <c r="K1034">
        <v>25.25</v>
      </c>
      <c r="L1034">
        <v>114.75</v>
      </c>
      <c r="M1034">
        <v>-41</v>
      </c>
      <c r="N1034" t="s">
        <v>78</v>
      </c>
    </row>
    <row r="1035" spans="1:14" x14ac:dyDescent="0.25">
      <c r="A1035" t="s">
        <v>424</v>
      </c>
      <c r="B1035">
        <v>2144</v>
      </c>
      <c r="C1035" s="1">
        <v>43067</v>
      </c>
      <c r="D1035" t="s">
        <v>526</v>
      </c>
      <c r="E1035" s="1">
        <v>43039</v>
      </c>
      <c r="F1035">
        <v>0</v>
      </c>
      <c r="G1035" s="1">
        <v>43067</v>
      </c>
      <c r="H1035" s="1">
        <v>43108</v>
      </c>
      <c r="I1035" t="s">
        <v>15</v>
      </c>
      <c r="J1035">
        <v>128</v>
      </c>
      <c r="K1035">
        <v>23.08</v>
      </c>
      <c r="L1035">
        <v>104.92</v>
      </c>
      <c r="M1035">
        <v>-41</v>
      </c>
      <c r="N1035" t="s">
        <v>78</v>
      </c>
    </row>
    <row r="1036" spans="1:14" x14ac:dyDescent="0.25">
      <c r="A1036" t="s">
        <v>424</v>
      </c>
      <c r="B1036">
        <v>2145</v>
      </c>
      <c r="C1036" s="1">
        <v>43067</v>
      </c>
      <c r="D1036" t="s">
        <v>527</v>
      </c>
      <c r="E1036" s="1">
        <v>43039</v>
      </c>
      <c r="F1036">
        <v>0</v>
      </c>
      <c r="G1036" s="1">
        <v>43067</v>
      </c>
      <c r="H1036" s="1">
        <v>43108</v>
      </c>
      <c r="I1036" t="s">
        <v>15</v>
      </c>
      <c r="J1036">
        <v>400</v>
      </c>
      <c r="K1036">
        <v>72.13</v>
      </c>
      <c r="L1036">
        <v>327.87</v>
      </c>
      <c r="M1036">
        <v>-41</v>
      </c>
      <c r="N1036" t="s">
        <v>78</v>
      </c>
    </row>
    <row r="1037" spans="1:14" x14ac:dyDescent="0.25">
      <c r="A1037" t="s">
        <v>495</v>
      </c>
      <c r="B1037">
        <v>1633</v>
      </c>
      <c r="C1037" s="1">
        <v>42993</v>
      </c>
      <c r="D1037" t="str">
        <f>"99"</f>
        <v>99</v>
      </c>
      <c r="E1037" s="1">
        <v>42961</v>
      </c>
      <c r="F1037">
        <v>0</v>
      </c>
      <c r="G1037" s="1">
        <v>42993</v>
      </c>
      <c r="H1037" s="1">
        <v>43035</v>
      </c>
      <c r="I1037" t="s">
        <v>23</v>
      </c>
      <c r="J1037" s="2">
        <v>16703.39</v>
      </c>
      <c r="K1037" s="2">
        <v>1518.49</v>
      </c>
      <c r="L1037" s="2">
        <v>15184.9</v>
      </c>
      <c r="M1037">
        <v>-42</v>
      </c>
      <c r="N1037" t="s">
        <v>30</v>
      </c>
    </row>
    <row r="1038" spans="1:14" x14ac:dyDescent="0.25">
      <c r="A1038" t="s">
        <v>326</v>
      </c>
      <c r="B1038">
        <v>936</v>
      </c>
      <c r="C1038" s="1">
        <v>42872</v>
      </c>
      <c r="D1038" t="s">
        <v>528</v>
      </c>
      <c r="E1038" s="1">
        <v>42855</v>
      </c>
      <c r="F1038">
        <v>0</v>
      </c>
      <c r="G1038" s="1">
        <v>42873</v>
      </c>
      <c r="H1038" s="1">
        <v>42916</v>
      </c>
      <c r="I1038" t="s">
        <v>15</v>
      </c>
      <c r="J1038" s="2">
        <v>1723.7</v>
      </c>
      <c r="K1038">
        <v>0</v>
      </c>
      <c r="L1038" s="2">
        <v>1723.7</v>
      </c>
      <c r="M1038">
        <v>-43</v>
      </c>
      <c r="N1038" t="s">
        <v>52</v>
      </c>
    </row>
    <row r="1039" spans="1:14" x14ac:dyDescent="0.25">
      <c r="A1039" t="s">
        <v>73</v>
      </c>
      <c r="B1039">
        <v>944</v>
      </c>
      <c r="C1039" s="1">
        <v>42873</v>
      </c>
      <c r="D1039" t="str">
        <f>"0005956012"</f>
        <v>0005956012</v>
      </c>
      <c r="E1039" s="1">
        <v>42855</v>
      </c>
      <c r="F1039">
        <v>0</v>
      </c>
      <c r="G1039" s="1">
        <v>42873</v>
      </c>
      <c r="H1039" s="1">
        <v>42916</v>
      </c>
      <c r="I1039" t="s">
        <v>15</v>
      </c>
      <c r="J1039">
        <v>55.2</v>
      </c>
      <c r="K1039">
        <v>0</v>
      </c>
      <c r="L1039">
        <v>55.2</v>
      </c>
      <c r="M1039">
        <v>-43</v>
      </c>
      <c r="N1039" t="s">
        <v>27</v>
      </c>
    </row>
    <row r="1040" spans="1:14" x14ac:dyDescent="0.25">
      <c r="A1040" t="s">
        <v>73</v>
      </c>
      <c r="B1040">
        <v>944</v>
      </c>
      <c r="C1040" s="1">
        <v>42873</v>
      </c>
      <c r="D1040" t="str">
        <f>"0005956013"</f>
        <v>0005956013</v>
      </c>
      <c r="E1040" s="1">
        <v>42855</v>
      </c>
      <c r="F1040">
        <v>0</v>
      </c>
      <c r="G1040" s="1">
        <v>42873</v>
      </c>
      <c r="H1040" s="1">
        <v>42916</v>
      </c>
      <c r="I1040" t="s">
        <v>15</v>
      </c>
      <c r="J1040">
        <v>195</v>
      </c>
      <c r="K1040">
        <v>0</v>
      </c>
      <c r="L1040">
        <v>195</v>
      </c>
      <c r="M1040">
        <v>-43</v>
      </c>
      <c r="N1040" t="s">
        <v>27</v>
      </c>
    </row>
    <row r="1041" spans="1:14" x14ac:dyDescent="0.25">
      <c r="A1041" t="s">
        <v>461</v>
      </c>
      <c r="B1041">
        <v>868</v>
      </c>
      <c r="C1041" s="1">
        <v>42871</v>
      </c>
      <c r="D1041" s="5" t="s">
        <v>529</v>
      </c>
      <c r="E1041" s="1">
        <v>42831</v>
      </c>
      <c r="F1041">
        <v>0</v>
      </c>
      <c r="G1041" s="1">
        <v>42873</v>
      </c>
      <c r="H1041" s="1">
        <v>42916</v>
      </c>
      <c r="I1041" t="s">
        <v>15</v>
      </c>
      <c r="J1041">
        <v>168.12</v>
      </c>
      <c r="K1041">
        <v>30.32</v>
      </c>
      <c r="L1041">
        <v>137.80000000000001</v>
      </c>
      <c r="M1041">
        <v>-43</v>
      </c>
      <c r="N1041" t="s">
        <v>439</v>
      </c>
    </row>
    <row r="1042" spans="1:14" x14ac:dyDescent="0.25">
      <c r="A1042" t="s">
        <v>461</v>
      </c>
      <c r="B1042">
        <v>867</v>
      </c>
      <c r="C1042" s="1">
        <v>42871</v>
      </c>
      <c r="D1042" s="5" t="s">
        <v>530</v>
      </c>
      <c r="E1042" s="1">
        <v>42831</v>
      </c>
      <c r="F1042">
        <v>0</v>
      </c>
      <c r="G1042" s="1">
        <v>42873</v>
      </c>
      <c r="H1042" s="1">
        <v>42916</v>
      </c>
      <c r="I1042" t="s">
        <v>15</v>
      </c>
      <c r="J1042">
        <v>85.16</v>
      </c>
      <c r="K1042">
        <v>15.36</v>
      </c>
      <c r="L1042">
        <v>69.8</v>
      </c>
      <c r="M1042">
        <v>-43</v>
      </c>
      <c r="N1042" t="s">
        <v>439</v>
      </c>
    </row>
    <row r="1043" spans="1:14" x14ac:dyDescent="0.25">
      <c r="A1043" t="s">
        <v>123</v>
      </c>
      <c r="B1043">
        <v>946</v>
      </c>
      <c r="C1043" s="1">
        <v>42873</v>
      </c>
      <c r="D1043" t="s">
        <v>531</v>
      </c>
      <c r="E1043" s="1">
        <v>42855</v>
      </c>
      <c r="F1043">
        <v>0</v>
      </c>
      <c r="G1043" s="1">
        <v>42873</v>
      </c>
      <c r="H1043" s="1">
        <v>42916</v>
      </c>
      <c r="I1043" t="s">
        <v>15</v>
      </c>
      <c r="J1043" s="2">
        <v>2500</v>
      </c>
      <c r="K1043">
        <v>0</v>
      </c>
      <c r="L1043" s="2">
        <v>2500</v>
      </c>
      <c r="M1043">
        <v>-43</v>
      </c>
      <c r="N1043" t="s">
        <v>359</v>
      </c>
    </row>
    <row r="1044" spans="1:14" x14ac:dyDescent="0.25">
      <c r="A1044" t="s">
        <v>523</v>
      </c>
      <c r="B1044">
        <v>1579</v>
      </c>
      <c r="C1044" s="1">
        <v>42972</v>
      </c>
      <c r="D1044" t="s">
        <v>532</v>
      </c>
      <c r="E1044" s="1">
        <v>42937</v>
      </c>
      <c r="F1044">
        <v>0</v>
      </c>
      <c r="G1044" s="1">
        <v>42972</v>
      </c>
      <c r="H1044" s="1">
        <v>43016</v>
      </c>
      <c r="I1044" t="s">
        <v>23</v>
      </c>
      <c r="J1044">
        <v>265.49</v>
      </c>
      <c r="K1044">
        <v>46.04</v>
      </c>
      <c r="L1044">
        <v>219.45</v>
      </c>
      <c r="M1044">
        <v>-44</v>
      </c>
      <c r="N1044" t="s">
        <v>359</v>
      </c>
    </row>
    <row r="1045" spans="1:14" x14ac:dyDescent="0.25">
      <c r="A1045" t="s">
        <v>490</v>
      </c>
      <c r="B1045">
        <v>2236</v>
      </c>
      <c r="C1045" s="1">
        <v>43075</v>
      </c>
      <c r="D1045" t="str">
        <f>"270206302545114"</f>
        <v>270206302545114</v>
      </c>
      <c r="E1045" s="1">
        <v>43048</v>
      </c>
      <c r="F1045">
        <v>0</v>
      </c>
      <c r="G1045" s="1">
        <v>43075</v>
      </c>
      <c r="H1045" s="1">
        <v>43119</v>
      </c>
      <c r="I1045" t="s">
        <v>23</v>
      </c>
      <c r="J1045">
        <v>37.5</v>
      </c>
      <c r="K1045">
        <v>6.76</v>
      </c>
      <c r="L1045">
        <v>30.74</v>
      </c>
      <c r="M1045">
        <v>-44</v>
      </c>
      <c r="N1045" t="s">
        <v>491</v>
      </c>
    </row>
    <row r="1046" spans="1:14" x14ac:dyDescent="0.25">
      <c r="A1046" t="s">
        <v>495</v>
      </c>
      <c r="B1046">
        <v>992</v>
      </c>
      <c r="C1046" s="1">
        <v>42895</v>
      </c>
      <c r="D1046" t="str">
        <f>"55"</f>
        <v>55</v>
      </c>
      <c r="E1046" s="1">
        <v>42879</v>
      </c>
      <c r="F1046">
        <v>0</v>
      </c>
      <c r="G1046" s="1">
        <v>42895</v>
      </c>
      <c r="H1046" s="1">
        <v>42939</v>
      </c>
      <c r="I1046" t="s">
        <v>23</v>
      </c>
      <c r="J1046" s="2">
        <v>33914.78</v>
      </c>
      <c r="K1046" s="2">
        <v>3083.16</v>
      </c>
      <c r="L1046" s="2">
        <v>30831.62</v>
      </c>
      <c r="M1046">
        <v>-44</v>
      </c>
      <c r="N1046" t="s">
        <v>30</v>
      </c>
    </row>
    <row r="1047" spans="1:14" x14ac:dyDescent="0.25">
      <c r="A1047" t="s">
        <v>130</v>
      </c>
      <c r="B1047">
        <v>259</v>
      </c>
      <c r="C1047" s="1">
        <v>42776</v>
      </c>
      <c r="D1047" t="s">
        <v>533</v>
      </c>
      <c r="E1047" s="1">
        <v>42755</v>
      </c>
      <c r="F1047">
        <v>0</v>
      </c>
      <c r="G1047" s="1">
        <v>42776</v>
      </c>
      <c r="H1047" s="1">
        <v>42821</v>
      </c>
      <c r="I1047" t="s">
        <v>23</v>
      </c>
      <c r="J1047" s="2">
        <v>1178.32</v>
      </c>
      <c r="K1047">
        <v>31.87</v>
      </c>
      <c r="L1047" s="2">
        <v>1146.45</v>
      </c>
      <c r="M1047">
        <v>-45</v>
      </c>
      <c r="N1047" t="s">
        <v>24</v>
      </c>
    </row>
    <row r="1048" spans="1:14" x14ac:dyDescent="0.25">
      <c r="A1048" t="s">
        <v>523</v>
      </c>
      <c r="B1048">
        <v>1762</v>
      </c>
      <c r="C1048" s="1">
        <v>43007</v>
      </c>
      <c r="D1048" t="s">
        <v>534</v>
      </c>
      <c r="E1048" s="1">
        <v>42992</v>
      </c>
      <c r="F1048">
        <v>0</v>
      </c>
      <c r="G1048" s="1">
        <v>43010</v>
      </c>
      <c r="H1048" s="1">
        <v>43056</v>
      </c>
      <c r="I1048" t="s">
        <v>23</v>
      </c>
      <c r="J1048">
        <v>66.88</v>
      </c>
      <c r="K1048">
        <v>10.220000000000001</v>
      </c>
      <c r="L1048">
        <v>56.66</v>
      </c>
      <c r="M1048">
        <v>-46</v>
      </c>
      <c r="N1048" t="s">
        <v>359</v>
      </c>
    </row>
    <row r="1049" spans="1:14" x14ac:dyDescent="0.25">
      <c r="A1049" t="s">
        <v>490</v>
      </c>
      <c r="B1049">
        <v>529</v>
      </c>
      <c r="C1049" s="1">
        <v>42816</v>
      </c>
      <c r="D1049" t="str">
        <f>"270206302545119"</f>
        <v>270206302545119</v>
      </c>
      <c r="E1049" s="1">
        <v>42804</v>
      </c>
      <c r="F1049">
        <v>0</v>
      </c>
      <c r="G1049" s="1">
        <v>42821</v>
      </c>
      <c r="H1049" s="1">
        <v>42867</v>
      </c>
      <c r="I1049" t="s">
        <v>23</v>
      </c>
      <c r="J1049">
        <v>36.06</v>
      </c>
      <c r="K1049">
        <v>6.5</v>
      </c>
      <c r="L1049">
        <v>29.56</v>
      </c>
      <c r="M1049">
        <v>-46</v>
      </c>
      <c r="N1049" t="s">
        <v>491</v>
      </c>
    </row>
    <row r="1050" spans="1:14" x14ac:dyDescent="0.25">
      <c r="A1050" t="s">
        <v>490</v>
      </c>
      <c r="B1050">
        <v>1744</v>
      </c>
      <c r="C1050" s="1">
        <v>43007</v>
      </c>
      <c r="D1050" t="str">
        <f>"270206302545113"</f>
        <v>270206302545113</v>
      </c>
      <c r="E1050" s="1">
        <v>42988</v>
      </c>
      <c r="F1050">
        <v>0</v>
      </c>
      <c r="G1050" s="1">
        <v>43010</v>
      </c>
      <c r="H1050" s="1">
        <v>43056</v>
      </c>
      <c r="I1050" t="s">
        <v>23</v>
      </c>
      <c r="J1050">
        <v>37.5</v>
      </c>
      <c r="K1050">
        <v>6.76</v>
      </c>
      <c r="L1050">
        <v>30.74</v>
      </c>
      <c r="M1050">
        <v>-46</v>
      </c>
      <c r="N1050" t="s">
        <v>491</v>
      </c>
    </row>
    <row r="1051" spans="1:14" x14ac:dyDescent="0.25">
      <c r="A1051" t="s">
        <v>438</v>
      </c>
      <c r="B1051">
        <v>358</v>
      </c>
      <c r="C1051" s="1">
        <v>42790</v>
      </c>
      <c r="D1051" t="str">
        <f>"0000002786"</f>
        <v>0000002786</v>
      </c>
      <c r="E1051" s="1">
        <v>42776</v>
      </c>
      <c r="F1051">
        <v>0</v>
      </c>
      <c r="G1051" s="1">
        <v>42790</v>
      </c>
      <c r="H1051" s="1">
        <v>42836</v>
      </c>
      <c r="I1051" t="s">
        <v>15</v>
      </c>
      <c r="J1051">
        <v>149.15</v>
      </c>
      <c r="K1051">
        <v>26.9</v>
      </c>
      <c r="L1051">
        <v>122.25</v>
      </c>
      <c r="M1051">
        <v>-46</v>
      </c>
      <c r="N1051" t="s">
        <v>27</v>
      </c>
    </row>
    <row r="1052" spans="1:14" x14ac:dyDescent="0.25">
      <c r="A1052" t="s">
        <v>490</v>
      </c>
      <c r="B1052">
        <v>1409</v>
      </c>
      <c r="C1052" s="1">
        <v>42943</v>
      </c>
      <c r="D1052" t="str">
        <f>"270206302545112"</f>
        <v>270206302545112</v>
      </c>
      <c r="E1052" s="1">
        <v>42926</v>
      </c>
      <c r="F1052">
        <v>0</v>
      </c>
      <c r="G1052" s="1">
        <v>42943</v>
      </c>
      <c r="H1052" s="1">
        <v>42990</v>
      </c>
      <c r="I1052" t="s">
        <v>23</v>
      </c>
      <c r="J1052">
        <v>37.5</v>
      </c>
      <c r="K1052">
        <v>6.76</v>
      </c>
      <c r="L1052">
        <v>30.74</v>
      </c>
      <c r="M1052">
        <v>-47</v>
      </c>
      <c r="N1052" t="s">
        <v>491</v>
      </c>
    </row>
    <row r="1053" spans="1:14" x14ac:dyDescent="0.25">
      <c r="A1053" t="s">
        <v>438</v>
      </c>
      <c r="B1053">
        <v>1180</v>
      </c>
      <c r="C1053" s="1">
        <v>42913</v>
      </c>
      <c r="D1053" t="str">
        <f>"0000010910"</f>
        <v>0000010910</v>
      </c>
      <c r="E1053" s="1">
        <v>42901</v>
      </c>
      <c r="F1053">
        <v>0</v>
      </c>
      <c r="G1053" s="1">
        <v>42914</v>
      </c>
      <c r="H1053" s="1">
        <v>42961</v>
      </c>
      <c r="I1053" t="s">
        <v>15</v>
      </c>
      <c r="J1053">
        <v>215.59</v>
      </c>
      <c r="K1053">
        <v>38.880000000000003</v>
      </c>
      <c r="L1053">
        <v>176.71</v>
      </c>
      <c r="M1053">
        <v>-47</v>
      </c>
      <c r="N1053" t="s">
        <v>27</v>
      </c>
    </row>
    <row r="1054" spans="1:14" x14ac:dyDescent="0.25">
      <c r="A1054" t="s">
        <v>438</v>
      </c>
      <c r="B1054">
        <v>1405</v>
      </c>
      <c r="C1054" s="1">
        <v>42942</v>
      </c>
      <c r="D1054" t="str">
        <f>"0000012486"</f>
        <v>0000012486</v>
      </c>
      <c r="E1054" s="1">
        <v>42930</v>
      </c>
      <c r="F1054">
        <v>0</v>
      </c>
      <c r="G1054" s="1">
        <v>42943</v>
      </c>
      <c r="H1054" s="1">
        <v>42990</v>
      </c>
      <c r="I1054" t="s">
        <v>15</v>
      </c>
      <c r="J1054">
        <v>215.59</v>
      </c>
      <c r="K1054">
        <v>38.880000000000003</v>
      </c>
      <c r="L1054">
        <v>176.71</v>
      </c>
      <c r="M1054">
        <v>-47</v>
      </c>
      <c r="N1054" t="s">
        <v>27</v>
      </c>
    </row>
    <row r="1055" spans="1:14" x14ac:dyDescent="0.25">
      <c r="A1055" t="s">
        <v>535</v>
      </c>
      <c r="B1055">
        <v>2286</v>
      </c>
      <c r="C1055" s="1">
        <v>43081</v>
      </c>
      <c r="D1055" t="str">
        <f>"4"</f>
        <v>4</v>
      </c>
      <c r="E1055" s="1">
        <v>43060</v>
      </c>
      <c r="F1055">
        <v>0</v>
      </c>
      <c r="G1055" s="1">
        <v>43081</v>
      </c>
      <c r="H1055" s="1">
        <v>43128</v>
      </c>
      <c r="I1055" t="s">
        <v>23</v>
      </c>
      <c r="J1055" s="2">
        <v>4026</v>
      </c>
      <c r="K1055">
        <v>726</v>
      </c>
      <c r="L1055" s="2">
        <v>3300</v>
      </c>
      <c r="M1055">
        <v>-47</v>
      </c>
      <c r="N1055" t="s">
        <v>139</v>
      </c>
    </row>
    <row r="1056" spans="1:14" x14ac:dyDescent="0.25">
      <c r="A1056" t="s">
        <v>126</v>
      </c>
      <c r="B1056">
        <v>354</v>
      </c>
      <c r="C1056" s="1">
        <v>42790</v>
      </c>
      <c r="D1056" t="s">
        <v>168</v>
      </c>
      <c r="E1056" s="1">
        <v>42766</v>
      </c>
      <c r="F1056">
        <v>0</v>
      </c>
      <c r="G1056" s="1">
        <v>42790</v>
      </c>
      <c r="H1056" s="1">
        <v>42839</v>
      </c>
      <c r="I1056" t="s">
        <v>23</v>
      </c>
      <c r="J1056" s="2">
        <v>1109.1600000000001</v>
      </c>
      <c r="K1056">
        <v>200.01</v>
      </c>
      <c r="L1056">
        <v>909.15</v>
      </c>
      <c r="M1056">
        <v>-49</v>
      </c>
      <c r="N1056" t="s">
        <v>52</v>
      </c>
    </row>
    <row r="1057" spans="1:14" x14ac:dyDescent="0.25">
      <c r="A1057" t="s">
        <v>536</v>
      </c>
      <c r="B1057">
        <v>516</v>
      </c>
      <c r="C1057" s="1">
        <v>42816</v>
      </c>
      <c r="D1057" t="s">
        <v>537</v>
      </c>
      <c r="E1057" s="1">
        <v>42808</v>
      </c>
      <c r="F1057">
        <v>0</v>
      </c>
      <c r="G1057" s="1">
        <v>42821</v>
      </c>
      <c r="H1057" s="1">
        <v>42870</v>
      </c>
      <c r="I1057" t="s">
        <v>23</v>
      </c>
      <c r="J1057" s="2">
        <v>3479</v>
      </c>
      <c r="K1057">
        <v>0</v>
      </c>
      <c r="L1057" s="2">
        <v>3479</v>
      </c>
      <c r="M1057">
        <v>-49</v>
      </c>
      <c r="N1057" t="s">
        <v>39</v>
      </c>
    </row>
    <row r="1058" spans="1:14" x14ac:dyDescent="0.25">
      <c r="A1058" t="s">
        <v>536</v>
      </c>
      <c r="B1058">
        <v>515</v>
      </c>
      <c r="C1058" s="1">
        <v>42816</v>
      </c>
      <c r="D1058" t="s">
        <v>537</v>
      </c>
      <c r="E1058" s="1">
        <v>42808</v>
      </c>
      <c r="F1058">
        <v>0</v>
      </c>
      <c r="G1058" s="1">
        <v>42821</v>
      </c>
      <c r="H1058" s="1">
        <v>42870</v>
      </c>
      <c r="I1058" t="s">
        <v>23</v>
      </c>
      <c r="J1058">
        <v>683.21</v>
      </c>
      <c r="K1058">
        <v>0</v>
      </c>
      <c r="L1058">
        <v>683.21</v>
      </c>
      <c r="M1058">
        <v>-49</v>
      </c>
      <c r="N1058" t="s">
        <v>39</v>
      </c>
    </row>
    <row r="1059" spans="1:14" x14ac:dyDescent="0.25">
      <c r="A1059" t="s">
        <v>512</v>
      </c>
      <c r="B1059">
        <v>1031</v>
      </c>
      <c r="C1059" s="1">
        <v>42895</v>
      </c>
      <c r="D1059" t="s">
        <v>538</v>
      </c>
      <c r="E1059" s="1">
        <v>42881</v>
      </c>
      <c r="F1059">
        <v>0</v>
      </c>
      <c r="G1059" s="1">
        <v>42895</v>
      </c>
      <c r="H1059" s="1">
        <v>42944</v>
      </c>
      <c r="I1059" t="s">
        <v>23</v>
      </c>
      <c r="J1059">
        <v>771.72</v>
      </c>
      <c r="K1059">
        <v>139.16</v>
      </c>
      <c r="L1059">
        <v>632.55999999999995</v>
      </c>
      <c r="M1059">
        <v>-49</v>
      </c>
      <c r="N1059" t="s">
        <v>72</v>
      </c>
    </row>
    <row r="1060" spans="1:14" x14ac:dyDescent="0.25">
      <c r="A1060" t="s">
        <v>438</v>
      </c>
      <c r="B1060">
        <v>562</v>
      </c>
      <c r="C1060" s="1">
        <v>42821</v>
      </c>
      <c r="D1060" t="str">
        <f>"0000004894"</f>
        <v>0000004894</v>
      </c>
      <c r="E1060" s="1">
        <v>42810</v>
      </c>
      <c r="F1060">
        <v>0</v>
      </c>
      <c r="G1060" s="1">
        <v>42821</v>
      </c>
      <c r="H1060" s="1">
        <v>42870</v>
      </c>
      <c r="I1060" t="s">
        <v>15</v>
      </c>
      <c r="J1060">
        <v>215.59</v>
      </c>
      <c r="K1060">
        <v>38.880000000000003</v>
      </c>
      <c r="L1060">
        <v>176.71</v>
      </c>
      <c r="M1060">
        <v>-49</v>
      </c>
      <c r="N1060" t="s">
        <v>27</v>
      </c>
    </row>
    <row r="1061" spans="1:14" x14ac:dyDescent="0.25">
      <c r="A1061" t="s">
        <v>523</v>
      </c>
      <c r="B1061">
        <v>1937</v>
      </c>
      <c r="C1061" s="1">
        <v>43033</v>
      </c>
      <c r="D1061" t="s">
        <v>539</v>
      </c>
      <c r="E1061" s="1">
        <v>43014</v>
      </c>
      <c r="F1061">
        <v>0</v>
      </c>
      <c r="G1061" s="1">
        <v>43034</v>
      </c>
      <c r="H1061" s="1">
        <v>43084</v>
      </c>
      <c r="I1061" t="s">
        <v>23</v>
      </c>
      <c r="J1061">
        <v>212.88</v>
      </c>
      <c r="K1061">
        <v>38.39</v>
      </c>
      <c r="L1061">
        <v>174.49</v>
      </c>
      <c r="M1061">
        <v>-50</v>
      </c>
      <c r="N1061" t="s">
        <v>359</v>
      </c>
    </row>
    <row r="1062" spans="1:14" x14ac:dyDescent="0.25">
      <c r="A1062" t="s">
        <v>536</v>
      </c>
      <c r="B1062">
        <v>1435</v>
      </c>
      <c r="C1062" s="1">
        <v>42956</v>
      </c>
      <c r="D1062" t="s">
        <v>540</v>
      </c>
      <c r="E1062" s="1">
        <v>42947</v>
      </c>
      <c r="F1062">
        <v>0</v>
      </c>
      <c r="G1062" s="1">
        <v>42957</v>
      </c>
      <c r="H1062" s="1">
        <v>43007</v>
      </c>
      <c r="I1062" t="s">
        <v>23</v>
      </c>
      <c r="J1062">
        <v>600</v>
      </c>
      <c r="K1062">
        <v>0</v>
      </c>
      <c r="L1062">
        <v>600</v>
      </c>
      <c r="M1062">
        <v>-50</v>
      </c>
      <c r="N1062" t="s">
        <v>39</v>
      </c>
    </row>
    <row r="1063" spans="1:14" x14ac:dyDescent="0.25">
      <c r="A1063" t="s">
        <v>495</v>
      </c>
      <c r="B1063">
        <v>779</v>
      </c>
      <c r="C1063" s="1">
        <v>42849</v>
      </c>
      <c r="D1063" t="str">
        <f>"37"</f>
        <v>37</v>
      </c>
      <c r="E1063" s="1">
        <v>42832</v>
      </c>
      <c r="F1063">
        <v>0</v>
      </c>
      <c r="G1063" s="1">
        <v>42849</v>
      </c>
      <c r="H1063" s="1">
        <v>42899</v>
      </c>
      <c r="I1063" t="s">
        <v>23</v>
      </c>
      <c r="J1063" s="2">
        <v>64456.24</v>
      </c>
      <c r="K1063" s="2">
        <v>5859.66</v>
      </c>
      <c r="L1063" s="2">
        <v>58596.58</v>
      </c>
      <c r="M1063">
        <v>-50</v>
      </c>
      <c r="N1063" t="s">
        <v>30</v>
      </c>
    </row>
    <row r="1064" spans="1:14" x14ac:dyDescent="0.25">
      <c r="A1064" t="s">
        <v>541</v>
      </c>
      <c r="B1064">
        <v>873</v>
      </c>
      <c r="C1064" s="1">
        <v>42872</v>
      </c>
      <c r="D1064" t="s">
        <v>43</v>
      </c>
      <c r="E1064" s="1">
        <v>42853</v>
      </c>
      <c r="F1064">
        <v>0</v>
      </c>
      <c r="G1064" s="1">
        <v>42873</v>
      </c>
      <c r="H1064" s="1">
        <v>42923</v>
      </c>
      <c r="I1064" t="s">
        <v>23</v>
      </c>
      <c r="J1064">
        <v>234.24</v>
      </c>
      <c r="K1064">
        <v>42.24</v>
      </c>
      <c r="L1064">
        <v>192</v>
      </c>
      <c r="M1064">
        <v>-50</v>
      </c>
      <c r="N1064" t="s">
        <v>89</v>
      </c>
    </row>
    <row r="1065" spans="1:14" x14ac:dyDescent="0.25">
      <c r="A1065" t="s">
        <v>541</v>
      </c>
      <c r="B1065">
        <v>872</v>
      </c>
      <c r="C1065" s="1">
        <v>42872</v>
      </c>
      <c r="D1065" t="s">
        <v>43</v>
      </c>
      <c r="E1065" s="1">
        <v>42853</v>
      </c>
      <c r="F1065">
        <v>0</v>
      </c>
      <c r="G1065" s="1">
        <v>42873</v>
      </c>
      <c r="H1065" s="1">
        <v>42923</v>
      </c>
      <c r="I1065" t="s">
        <v>23</v>
      </c>
      <c r="J1065" s="2">
        <v>2940.2</v>
      </c>
      <c r="K1065">
        <v>530.20000000000005</v>
      </c>
      <c r="L1065" s="2">
        <v>2410</v>
      </c>
      <c r="M1065">
        <v>-50</v>
      </c>
      <c r="N1065" t="s">
        <v>89</v>
      </c>
    </row>
    <row r="1066" spans="1:14" x14ac:dyDescent="0.25">
      <c r="A1066" t="s">
        <v>542</v>
      </c>
      <c r="B1066">
        <v>2229</v>
      </c>
      <c r="C1066" s="1">
        <v>43075</v>
      </c>
      <c r="D1066" t="s">
        <v>543</v>
      </c>
      <c r="E1066" s="1">
        <v>43053</v>
      </c>
      <c r="F1066">
        <v>0</v>
      </c>
      <c r="G1066" s="1">
        <v>43075</v>
      </c>
      <c r="H1066" s="1">
        <v>43126</v>
      </c>
      <c r="I1066" t="s">
        <v>23</v>
      </c>
      <c r="J1066" s="2">
        <v>7346.91</v>
      </c>
      <c r="K1066" s="2">
        <v>1324.85</v>
      </c>
      <c r="L1066" s="2">
        <v>6022.06</v>
      </c>
      <c r="M1066">
        <v>-51</v>
      </c>
      <c r="N1066" t="s">
        <v>101</v>
      </c>
    </row>
    <row r="1067" spans="1:14" x14ac:dyDescent="0.25">
      <c r="A1067" t="s">
        <v>542</v>
      </c>
      <c r="B1067">
        <v>2231</v>
      </c>
      <c r="C1067" s="1">
        <v>43075</v>
      </c>
      <c r="D1067" t="s">
        <v>544</v>
      </c>
      <c r="E1067" s="1">
        <v>43053</v>
      </c>
      <c r="F1067">
        <v>0</v>
      </c>
      <c r="G1067" s="1">
        <v>43075</v>
      </c>
      <c r="H1067" s="1">
        <v>43126</v>
      </c>
      <c r="I1067" t="s">
        <v>23</v>
      </c>
      <c r="J1067">
        <v>732</v>
      </c>
      <c r="K1067">
        <v>132</v>
      </c>
      <c r="L1067">
        <v>600</v>
      </c>
      <c r="M1067">
        <v>-51</v>
      </c>
      <c r="N1067" t="s">
        <v>101</v>
      </c>
    </row>
    <row r="1068" spans="1:14" x14ac:dyDescent="0.25">
      <c r="A1068" t="s">
        <v>502</v>
      </c>
      <c r="B1068">
        <v>977</v>
      </c>
      <c r="C1068" s="1">
        <v>42893</v>
      </c>
      <c r="D1068" t="s">
        <v>545</v>
      </c>
      <c r="E1068" s="1">
        <v>42880</v>
      </c>
      <c r="F1068">
        <v>0</v>
      </c>
      <c r="G1068" s="1">
        <v>42895</v>
      </c>
      <c r="H1068" s="1">
        <v>42946</v>
      </c>
      <c r="I1068" t="s">
        <v>15</v>
      </c>
      <c r="J1068">
        <v>70.45</v>
      </c>
      <c r="K1068">
        <v>12.7</v>
      </c>
      <c r="L1068">
        <v>57.75</v>
      </c>
      <c r="M1068">
        <v>-51</v>
      </c>
      <c r="N1068" t="s">
        <v>55</v>
      </c>
    </row>
    <row r="1069" spans="1:14" x14ac:dyDescent="0.25">
      <c r="A1069" t="s">
        <v>502</v>
      </c>
      <c r="B1069">
        <v>982</v>
      </c>
      <c r="C1069" s="1">
        <v>42893</v>
      </c>
      <c r="D1069" t="s">
        <v>545</v>
      </c>
      <c r="E1069" s="1">
        <v>42880</v>
      </c>
      <c r="F1069">
        <v>0</v>
      </c>
      <c r="G1069" s="1">
        <v>42895</v>
      </c>
      <c r="H1069" s="1">
        <v>42946</v>
      </c>
      <c r="I1069" t="s">
        <v>15</v>
      </c>
      <c r="J1069">
        <v>50.28</v>
      </c>
      <c r="K1069">
        <v>9.07</v>
      </c>
      <c r="L1069">
        <v>41.21</v>
      </c>
      <c r="M1069">
        <v>-51</v>
      </c>
      <c r="N1069" t="s">
        <v>55</v>
      </c>
    </row>
    <row r="1070" spans="1:14" x14ac:dyDescent="0.25">
      <c r="A1070" t="s">
        <v>502</v>
      </c>
      <c r="B1070">
        <v>979</v>
      </c>
      <c r="C1070" s="1">
        <v>42893</v>
      </c>
      <c r="D1070" t="s">
        <v>546</v>
      </c>
      <c r="E1070" s="1">
        <v>42871</v>
      </c>
      <c r="F1070">
        <v>0</v>
      </c>
      <c r="G1070" s="1">
        <v>42895</v>
      </c>
      <c r="H1070" s="1">
        <v>42946</v>
      </c>
      <c r="I1070" t="s">
        <v>15</v>
      </c>
      <c r="J1070">
        <v>96.38</v>
      </c>
      <c r="K1070">
        <v>17.38</v>
      </c>
      <c r="L1070">
        <v>79</v>
      </c>
      <c r="M1070">
        <v>-51</v>
      </c>
      <c r="N1070" t="s">
        <v>55</v>
      </c>
    </row>
    <row r="1071" spans="1:14" x14ac:dyDescent="0.25">
      <c r="A1071" t="s">
        <v>502</v>
      </c>
      <c r="B1071">
        <v>987</v>
      </c>
      <c r="C1071" s="1">
        <v>42893</v>
      </c>
      <c r="D1071" t="s">
        <v>547</v>
      </c>
      <c r="E1071" s="1">
        <v>42880</v>
      </c>
      <c r="F1071">
        <v>0</v>
      </c>
      <c r="G1071" s="1">
        <v>42895</v>
      </c>
      <c r="H1071" s="1">
        <v>42946</v>
      </c>
      <c r="I1071" t="s">
        <v>15</v>
      </c>
      <c r="J1071">
        <v>32.659999999999997</v>
      </c>
      <c r="K1071">
        <v>5.89</v>
      </c>
      <c r="L1071">
        <v>26.77</v>
      </c>
      <c r="M1071">
        <v>-51</v>
      </c>
      <c r="N1071" t="s">
        <v>55</v>
      </c>
    </row>
    <row r="1072" spans="1:14" x14ac:dyDescent="0.25">
      <c r="A1072" t="s">
        <v>502</v>
      </c>
      <c r="B1072">
        <v>988</v>
      </c>
      <c r="C1072" s="1">
        <v>42893</v>
      </c>
      <c r="D1072" t="s">
        <v>547</v>
      </c>
      <c r="E1072" s="1">
        <v>42880</v>
      </c>
      <c r="F1072">
        <v>0</v>
      </c>
      <c r="G1072" s="1">
        <v>42895</v>
      </c>
      <c r="H1072" s="1">
        <v>42946</v>
      </c>
      <c r="I1072" t="s">
        <v>15</v>
      </c>
      <c r="J1072">
        <v>42.6</v>
      </c>
      <c r="K1072">
        <v>7.68</v>
      </c>
      <c r="L1072">
        <v>34.92</v>
      </c>
      <c r="M1072">
        <v>-51</v>
      </c>
      <c r="N1072" t="s">
        <v>55</v>
      </c>
    </row>
    <row r="1073" spans="1:14" x14ac:dyDescent="0.25">
      <c r="A1073" t="s">
        <v>502</v>
      </c>
      <c r="B1073">
        <v>980</v>
      </c>
      <c r="C1073" s="1">
        <v>42893</v>
      </c>
      <c r="D1073" t="s">
        <v>547</v>
      </c>
      <c r="E1073" s="1">
        <v>42880</v>
      </c>
      <c r="F1073">
        <v>0</v>
      </c>
      <c r="G1073" s="1">
        <v>42895</v>
      </c>
      <c r="H1073" s="1">
        <v>42946</v>
      </c>
      <c r="I1073" t="s">
        <v>15</v>
      </c>
      <c r="J1073">
        <v>371.2</v>
      </c>
      <c r="K1073">
        <v>66.94</v>
      </c>
      <c r="L1073">
        <v>304.26</v>
      </c>
      <c r="M1073">
        <v>-51</v>
      </c>
      <c r="N1073" t="s">
        <v>55</v>
      </c>
    </row>
    <row r="1074" spans="1:14" x14ac:dyDescent="0.25">
      <c r="A1074" t="s">
        <v>502</v>
      </c>
      <c r="B1074">
        <v>986</v>
      </c>
      <c r="C1074" s="1">
        <v>42893</v>
      </c>
      <c r="D1074" t="s">
        <v>547</v>
      </c>
      <c r="E1074" s="1">
        <v>42880</v>
      </c>
      <c r="F1074">
        <v>0</v>
      </c>
      <c r="G1074" s="1">
        <v>42895</v>
      </c>
      <c r="H1074" s="1">
        <v>42946</v>
      </c>
      <c r="I1074" t="s">
        <v>15</v>
      </c>
      <c r="J1074">
        <v>99.95</v>
      </c>
      <c r="K1074">
        <v>18.02</v>
      </c>
      <c r="L1074">
        <v>81.93</v>
      </c>
      <c r="M1074">
        <v>-51</v>
      </c>
      <c r="N1074" t="s">
        <v>55</v>
      </c>
    </row>
    <row r="1075" spans="1:14" x14ac:dyDescent="0.25">
      <c r="A1075" t="s">
        <v>502</v>
      </c>
      <c r="B1075">
        <v>978</v>
      </c>
      <c r="C1075" s="1">
        <v>42893</v>
      </c>
      <c r="D1075" t="s">
        <v>547</v>
      </c>
      <c r="E1075" s="1">
        <v>42880</v>
      </c>
      <c r="F1075">
        <v>0</v>
      </c>
      <c r="G1075" s="1">
        <v>42895</v>
      </c>
      <c r="H1075" s="1">
        <v>42946</v>
      </c>
      <c r="I1075" t="s">
        <v>15</v>
      </c>
      <c r="J1075">
        <v>71.02</v>
      </c>
      <c r="K1075">
        <v>12.81</v>
      </c>
      <c r="L1075">
        <v>58.21</v>
      </c>
      <c r="M1075">
        <v>-51</v>
      </c>
      <c r="N1075" t="s">
        <v>55</v>
      </c>
    </row>
    <row r="1076" spans="1:14" x14ac:dyDescent="0.25">
      <c r="A1076" t="s">
        <v>502</v>
      </c>
      <c r="B1076">
        <v>984</v>
      </c>
      <c r="C1076" s="1">
        <v>42893</v>
      </c>
      <c r="D1076" t="s">
        <v>546</v>
      </c>
      <c r="E1076" s="1">
        <v>42871</v>
      </c>
      <c r="F1076">
        <v>0</v>
      </c>
      <c r="G1076" s="1">
        <v>42895</v>
      </c>
      <c r="H1076" s="1">
        <v>42946</v>
      </c>
      <c r="I1076" t="s">
        <v>15</v>
      </c>
      <c r="J1076">
        <v>383.1</v>
      </c>
      <c r="K1076">
        <v>69.08</v>
      </c>
      <c r="L1076">
        <v>314.02</v>
      </c>
      <c r="M1076">
        <v>-51</v>
      </c>
      <c r="N1076" t="s">
        <v>55</v>
      </c>
    </row>
    <row r="1077" spans="1:14" x14ac:dyDescent="0.25">
      <c r="A1077" t="s">
        <v>502</v>
      </c>
      <c r="B1077">
        <v>981</v>
      </c>
      <c r="C1077" s="1">
        <v>42893</v>
      </c>
      <c r="D1077" t="s">
        <v>546</v>
      </c>
      <c r="E1077" s="1">
        <v>42871</v>
      </c>
      <c r="F1077">
        <v>0</v>
      </c>
      <c r="G1077" s="1">
        <v>42895</v>
      </c>
      <c r="H1077" s="1">
        <v>42946</v>
      </c>
      <c r="I1077" t="s">
        <v>15</v>
      </c>
      <c r="J1077" s="2">
        <v>2410.6999999999998</v>
      </c>
      <c r="K1077">
        <v>434.72</v>
      </c>
      <c r="L1077" s="2">
        <v>1975.98</v>
      </c>
      <c r="M1077">
        <v>-51</v>
      </c>
      <c r="N1077" t="s">
        <v>55</v>
      </c>
    </row>
    <row r="1078" spans="1:14" x14ac:dyDescent="0.25">
      <c r="A1078" t="s">
        <v>502</v>
      </c>
      <c r="B1078">
        <v>985</v>
      </c>
      <c r="C1078" s="1">
        <v>42893</v>
      </c>
      <c r="D1078" t="s">
        <v>545</v>
      </c>
      <c r="E1078" s="1">
        <v>42880</v>
      </c>
      <c r="F1078">
        <v>0</v>
      </c>
      <c r="G1078" s="1">
        <v>42895</v>
      </c>
      <c r="H1078" s="1">
        <v>42946</v>
      </c>
      <c r="I1078" t="s">
        <v>15</v>
      </c>
      <c r="J1078">
        <v>90.51</v>
      </c>
      <c r="K1078">
        <v>16.32</v>
      </c>
      <c r="L1078">
        <v>74.19</v>
      </c>
      <c r="M1078">
        <v>-51</v>
      </c>
      <c r="N1078" t="s">
        <v>55</v>
      </c>
    </row>
    <row r="1079" spans="1:14" x14ac:dyDescent="0.25">
      <c r="A1079" t="s">
        <v>502</v>
      </c>
      <c r="B1079">
        <v>983</v>
      </c>
      <c r="C1079" s="1">
        <v>42893</v>
      </c>
      <c r="D1079" t="s">
        <v>547</v>
      </c>
      <c r="E1079" s="1">
        <v>42880</v>
      </c>
      <c r="F1079">
        <v>0</v>
      </c>
      <c r="G1079" s="1">
        <v>42895</v>
      </c>
      <c r="H1079" s="1">
        <v>42946</v>
      </c>
      <c r="I1079" t="s">
        <v>15</v>
      </c>
      <c r="J1079">
        <v>208.31</v>
      </c>
      <c r="K1079">
        <v>37.56</v>
      </c>
      <c r="L1079">
        <v>170.75</v>
      </c>
      <c r="M1079">
        <v>-51</v>
      </c>
      <c r="N1079" t="s">
        <v>55</v>
      </c>
    </row>
    <row r="1080" spans="1:14" x14ac:dyDescent="0.25">
      <c r="A1080" t="s">
        <v>502</v>
      </c>
      <c r="B1080">
        <v>975</v>
      </c>
      <c r="C1080" s="1">
        <v>42893</v>
      </c>
      <c r="D1080" t="s">
        <v>547</v>
      </c>
      <c r="E1080" s="1">
        <v>42880</v>
      </c>
      <c r="F1080">
        <v>0</v>
      </c>
      <c r="G1080" s="1">
        <v>42895</v>
      </c>
      <c r="H1080" s="1">
        <v>42946</v>
      </c>
      <c r="I1080" t="s">
        <v>15</v>
      </c>
      <c r="J1080">
        <v>344.7</v>
      </c>
      <c r="K1080">
        <v>62.16</v>
      </c>
      <c r="L1080">
        <v>282.54000000000002</v>
      </c>
      <c r="M1080">
        <v>-51</v>
      </c>
      <c r="N1080" t="s">
        <v>55</v>
      </c>
    </row>
    <row r="1081" spans="1:14" x14ac:dyDescent="0.25">
      <c r="A1081" t="s">
        <v>502</v>
      </c>
      <c r="B1081">
        <v>976</v>
      </c>
      <c r="C1081" s="1">
        <v>42893</v>
      </c>
      <c r="D1081" t="s">
        <v>546</v>
      </c>
      <c r="E1081" s="1">
        <v>42871</v>
      </c>
      <c r="F1081">
        <v>0</v>
      </c>
      <c r="G1081" s="1">
        <v>42895</v>
      </c>
      <c r="H1081" s="1">
        <v>42946</v>
      </c>
      <c r="I1081" t="s">
        <v>15</v>
      </c>
      <c r="J1081">
        <v>267.18</v>
      </c>
      <c r="K1081">
        <v>48.18</v>
      </c>
      <c r="L1081">
        <v>219</v>
      </c>
      <c r="M1081">
        <v>-51</v>
      </c>
      <c r="N1081" t="s">
        <v>55</v>
      </c>
    </row>
    <row r="1082" spans="1:14" x14ac:dyDescent="0.25">
      <c r="A1082" t="s">
        <v>507</v>
      </c>
      <c r="B1082">
        <v>402</v>
      </c>
      <c r="C1082" s="1">
        <v>42801</v>
      </c>
      <c r="D1082" t="str">
        <f>"30014952"</f>
        <v>30014952</v>
      </c>
      <c r="E1082" s="1">
        <v>42774</v>
      </c>
      <c r="F1082">
        <v>0</v>
      </c>
      <c r="G1082" s="1">
        <v>42804</v>
      </c>
      <c r="H1082" s="1">
        <v>42855</v>
      </c>
      <c r="I1082" t="s">
        <v>15</v>
      </c>
      <c r="J1082">
        <v>34.590000000000003</v>
      </c>
      <c r="K1082">
        <v>6.24</v>
      </c>
      <c r="L1082">
        <v>28.35</v>
      </c>
      <c r="M1082">
        <v>-51</v>
      </c>
      <c r="N1082" t="s">
        <v>27</v>
      </c>
    </row>
    <row r="1083" spans="1:14" x14ac:dyDescent="0.25">
      <c r="A1083" t="s">
        <v>442</v>
      </c>
      <c r="B1083">
        <v>447</v>
      </c>
      <c r="C1083" s="1">
        <v>42802</v>
      </c>
      <c r="D1083" t="str">
        <f>"389"</f>
        <v>389</v>
      </c>
      <c r="E1083" s="1">
        <v>42797</v>
      </c>
      <c r="F1083">
        <v>0</v>
      </c>
      <c r="G1083" s="1">
        <v>42804</v>
      </c>
      <c r="H1083" s="1">
        <v>42855</v>
      </c>
      <c r="I1083" t="s">
        <v>15</v>
      </c>
      <c r="J1083">
        <v>453.35</v>
      </c>
      <c r="K1083">
        <v>81.75</v>
      </c>
      <c r="L1083">
        <v>371.6</v>
      </c>
      <c r="M1083">
        <v>-51</v>
      </c>
      <c r="N1083" t="s">
        <v>287</v>
      </c>
    </row>
    <row r="1084" spans="1:14" x14ac:dyDescent="0.25">
      <c r="A1084" t="s">
        <v>548</v>
      </c>
      <c r="B1084">
        <v>1989</v>
      </c>
      <c r="C1084" s="1">
        <v>43049</v>
      </c>
      <c r="D1084" t="s">
        <v>549</v>
      </c>
      <c r="E1084" s="1">
        <v>43027</v>
      </c>
      <c r="F1084">
        <v>0</v>
      </c>
      <c r="G1084" s="1">
        <v>43049</v>
      </c>
      <c r="H1084" s="1">
        <v>43100</v>
      </c>
      <c r="I1084" t="s">
        <v>15</v>
      </c>
      <c r="J1084">
        <v>200</v>
      </c>
      <c r="K1084">
        <v>36.07</v>
      </c>
      <c r="L1084">
        <v>163.93</v>
      </c>
      <c r="M1084">
        <v>-51</v>
      </c>
      <c r="N1084" t="s">
        <v>282</v>
      </c>
    </row>
    <row r="1085" spans="1:14" x14ac:dyDescent="0.25">
      <c r="A1085" t="s">
        <v>548</v>
      </c>
      <c r="B1085">
        <v>1990</v>
      </c>
      <c r="C1085" s="1">
        <v>43049</v>
      </c>
      <c r="D1085" t="s">
        <v>549</v>
      </c>
      <c r="E1085" s="1">
        <v>43027</v>
      </c>
      <c r="F1085">
        <v>0</v>
      </c>
      <c r="G1085" s="1">
        <v>43049</v>
      </c>
      <c r="H1085" s="1">
        <v>43100</v>
      </c>
      <c r="I1085" t="s">
        <v>15</v>
      </c>
      <c r="J1085">
        <v>197.06</v>
      </c>
      <c r="K1085">
        <v>35.53</v>
      </c>
      <c r="L1085">
        <v>161.53</v>
      </c>
      <c r="M1085">
        <v>-51</v>
      </c>
      <c r="N1085" t="s">
        <v>282</v>
      </c>
    </row>
    <row r="1086" spans="1:14" x14ac:dyDescent="0.25">
      <c r="A1086" t="s">
        <v>550</v>
      </c>
      <c r="B1086">
        <v>1035</v>
      </c>
      <c r="C1086" s="1">
        <v>42895</v>
      </c>
      <c r="D1086" s="3">
        <v>43104</v>
      </c>
      <c r="E1086" s="1">
        <v>42887</v>
      </c>
      <c r="F1086">
        <v>0</v>
      </c>
      <c r="G1086" s="1">
        <v>42895</v>
      </c>
      <c r="H1086" s="1">
        <v>42947</v>
      </c>
      <c r="I1086" t="s">
        <v>23</v>
      </c>
      <c r="J1086" s="2">
        <v>4270</v>
      </c>
      <c r="K1086">
        <v>770</v>
      </c>
      <c r="L1086" s="2">
        <v>3500</v>
      </c>
      <c r="M1086">
        <v>-52</v>
      </c>
      <c r="N1086" t="s">
        <v>30</v>
      </c>
    </row>
    <row r="1087" spans="1:14" x14ac:dyDescent="0.25">
      <c r="A1087" t="s">
        <v>550</v>
      </c>
      <c r="B1087">
        <v>401</v>
      </c>
      <c r="C1087" s="1">
        <v>42801</v>
      </c>
      <c r="D1087" s="3">
        <v>43101</v>
      </c>
      <c r="E1087" s="1">
        <v>42795</v>
      </c>
      <c r="F1087">
        <v>0</v>
      </c>
      <c r="G1087" s="1">
        <v>42804</v>
      </c>
      <c r="H1087" s="1">
        <v>42856</v>
      </c>
      <c r="I1087" t="s">
        <v>23</v>
      </c>
      <c r="J1087" s="2">
        <v>1759.24</v>
      </c>
      <c r="K1087">
        <v>317.24</v>
      </c>
      <c r="L1087" s="2">
        <v>1442</v>
      </c>
      <c r="M1087">
        <v>-52</v>
      </c>
      <c r="N1087" t="s">
        <v>30</v>
      </c>
    </row>
    <row r="1088" spans="1:14" x14ac:dyDescent="0.25">
      <c r="A1088" t="s">
        <v>130</v>
      </c>
      <c r="B1088">
        <v>1410</v>
      </c>
      <c r="C1088" s="1">
        <v>42943</v>
      </c>
      <c r="D1088" t="s">
        <v>551</v>
      </c>
      <c r="E1088" s="1">
        <v>42927</v>
      </c>
      <c r="F1088">
        <v>0</v>
      </c>
      <c r="G1088" s="1">
        <v>42943</v>
      </c>
      <c r="H1088" s="1">
        <v>42996</v>
      </c>
      <c r="I1088" t="s">
        <v>23</v>
      </c>
      <c r="J1088" s="2">
        <v>1108.8</v>
      </c>
      <c r="K1088">
        <v>29.99</v>
      </c>
      <c r="L1088" s="2">
        <v>1078.81</v>
      </c>
      <c r="M1088">
        <v>-53</v>
      </c>
      <c r="N1088" t="s">
        <v>39</v>
      </c>
    </row>
    <row r="1089" spans="1:14" x14ac:dyDescent="0.25">
      <c r="A1089" t="s">
        <v>209</v>
      </c>
      <c r="B1089">
        <v>930</v>
      </c>
      <c r="C1089" s="1">
        <v>42872</v>
      </c>
      <c r="D1089" t="s">
        <v>448</v>
      </c>
      <c r="E1089" s="1">
        <v>42865</v>
      </c>
      <c r="F1089">
        <v>0</v>
      </c>
      <c r="G1089" s="1">
        <v>42873</v>
      </c>
      <c r="H1089" s="1">
        <v>42926</v>
      </c>
      <c r="I1089" t="s">
        <v>15</v>
      </c>
      <c r="J1089">
        <v>200</v>
      </c>
      <c r="K1089">
        <v>36.07</v>
      </c>
      <c r="L1089">
        <v>163.93</v>
      </c>
      <c r="M1089">
        <v>-53</v>
      </c>
      <c r="N1089" t="s">
        <v>59</v>
      </c>
    </row>
    <row r="1090" spans="1:14" x14ac:dyDescent="0.25">
      <c r="A1090" t="s">
        <v>209</v>
      </c>
      <c r="B1090">
        <v>928</v>
      </c>
      <c r="C1090" s="1">
        <v>42872</v>
      </c>
      <c r="D1090" t="s">
        <v>448</v>
      </c>
      <c r="E1090" s="1">
        <v>42865</v>
      </c>
      <c r="F1090">
        <v>0</v>
      </c>
      <c r="G1090" s="1">
        <v>42873</v>
      </c>
      <c r="H1090" s="1">
        <v>42926</v>
      </c>
      <c r="I1090" t="s">
        <v>15</v>
      </c>
      <c r="J1090">
        <v>61.43</v>
      </c>
      <c r="K1090">
        <v>11.08</v>
      </c>
      <c r="L1090">
        <v>50.35</v>
      </c>
      <c r="M1090">
        <v>-53</v>
      </c>
      <c r="N1090" t="s">
        <v>59</v>
      </c>
    </row>
    <row r="1091" spans="1:14" x14ac:dyDescent="0.25">
      <c r="A1091" t="s">
        <v>209</v>
      </c>
      <c r="B1091">
        <v>927</v>
      </c>
      <c r="C1091" s="1">
        <v>42872</v>
      </c>
      <c r="D1091" t="s">
        <v>448</v>
      </c>
      <c r="E1091" s="1">
        <v>42865</v>
      </c>
      <c r="F1091">
        <v>0</v>
      </c>
      <c r="G1091" s="1">
        <v>42873</v>
      </c>
      <c r="H1091" s="1">
        <v>42926</v>
      </c>
      <c r="I1091" t="s">
        <v>15</v>
      </c>
      <c r="J1091">
        <v>100</v>
      </c>
      <c r="K1091">
        <v>18.03</v>
      </c>
      <c r="L1091">
        <v>81.97</v>
      </c>
      <c r="M1091">
        <v>-53</v>
      </c>
      <c r="N1091" t="s">
        <v>59</v>
      </c>
    </row>
    <row r="1092" spans="1:14" x14ac:dyDescent="0.25">
      <c r="A1092" t="s">
        <v>209</v>
      </c>
      <c r="B1092">
        <v>929</v>
      </c>
      <c r="C1092" s="1">
        <v>42872</v>
      </c>
      <c r="D1092" t="s">
        <v>448</v>
      </c>
      <c r="E1092" s="1">
        <v>42865</v>
      </c>
      <c r="F1092">
        <v>0</v>
      </c>
      <c r="G1092" s="1">
        <v>42873</v>
      </c>
      <c r="H1092" s="1">
        <v>42926</v>
      </c>
      <c r="I1092" t="s">
        <v>15</v>
      </c>
      <c r="J1092">
        <v>100</v>
      </c>
      <c r="K1092">
        <v>18.03</v>
      </c>
      <c r="L1092">
        <v>81.97</v>
      </c>
      <c r="M1092">
        <v>-53</v>
      </c>
      <c r="N1092" t="s">
        <v>59</v>
      </c>
    </row>
    <row r="1093" spans="1:14" x14ac:dyDescent="0.25">
      <c r="A1093" t="s">
        <v>552</v>
      </c>
      <c r="B1093">
        <v>2288</v>
      </c>
      <c r="C1093" s="1">
        <v>43081</v>
      </c>
      <c r="D1093" t="s">
        <v>553</v>
      </c>
      <c r="E1093" s="1">
        <v>43074</v>
      </c>
      <c r="F1093">
        <v>0</v>
      </c>
      <c r="G1093" s="1">
        <v>43081</v>
      </c>
      <c r="H1093" s="1">
        <v>43134</v>
      </c>
      <c r="I1093" t="s">
        <v>23</v>
      </c>
      <c r="J1093" s="2">
        <v>8431.59</v>
      </c>
      <c r="K1093" s="2">
        <v>1520.45</v>
      </c>
      <c r="L1093" s="2">
        <v>6911.14</v>
      </c>
      <c r="M1093">
        <v>-53</v>
      </c>
      <c r="N1093" t="s">
        <v>78</v>
      </c>
    </row>
    <row r="1094" spans="1:14" x14ac:dyDescent="0.25">
      <c r="A1094" t="s">
        <v>554</v>
      </c>
      <c r="B1094">
        <v>1411</v>
      </c>
      <c r="C1094" s="1">
        <v>42943</v>
      </c>
      <c r="D1094" t="str">
        <f>"58"</f>
        <v>58</v>
      </c>
      <c r="E1094" s="1">
        <v>42929</v>
      </c>
      <c r="F1094">
        <v>0</v>
      </c>
      <c r="G1094" s="1">
        <v>42943</v>
      </c>
      <c r="H1094" s="1">
        <v>42996</v>
      </c>
      <c r="I1094" t="s">
        <v>23</v>
      </c>
      <c r="J1094" s="2">
        <v>1808.74</v>
      </c>
      <c r="K1094">
        <v>326.17</v>
      </c>
      <c r="L1094" s="2">
        <v>1482.57</v>
      </c>
      <c r="M1094">
        <v>-53</v>
      </c>
      <c r="N1094" t="s">
        <v>89</v>
      </c>
    </row>
    <row r="1095" spans="1:14" x14ac:dyDescent="0.25">
      <c r="A1095" t="s">
        <v>502</v>
      </c>
      <c r="B1095">
        <v>2221</v>
      </c>
      <c r="C1095" s="1">
        <v>43075</v>
      </c>
      <c r="D1095" t="s">
        <v>555</v>
      </c>
      <c r="E1095" s="1">
        <v>43067</v>
      </c>
      <c r="F1095">
        <v>0</v>
      </c>
      <c r="G1095" s="1">
        <v>43075</v>
      </c>
      <c r="H1095" s="1">
        <v>43129</v>
      </c>
      <c r="I1095" t="s">
        <v>15</v>
      </c>
      <c r="J1095">
        <v>30</v>
      </c>
      <c r="K1095">
        <v>5.41</v>
      </c>
      <c r="L1095">
        <v>24.59</v>
      </c>
      <c r="M1095">
        <v>-54</v>
      </c>
      <c r="N1095" t="s">
        <v>55</v>
      </c>
    </row>
    <row r="1096" spans="1:14" x14ac:dyDescent="0.25">
      <c r="A1096" t="s">
        <v>502</v>
      </c>
      <c r="B1096">
        <v>2218</v>
      </c>
      <c r="C1096" s="1">
        <v>43075</v>
      </c>
      <c r="D1096" t="s">
        <v>555</v>
      </c>
      <c r="E1096" s="1">
        <v>43067</v>
      </c>
      <c r="F1096">
        <v>0</v>
      </c>
      <c r="G1096" s="1">
        <v>43075</v>
      </c>
      <c r="H1096" s="1">
        <v>43129</v>
      </c>
      <c r="I1096" t="s">
        <v>15</v>
      </c>
      <c r="J1096">
        <v>49.9</v>
      </c>
      <c r="K1096">
        <v>9</v>
      </c>
      <c r="L1096">
        <v>40.9</v>
      </c>
      <c r="M1096">
        <v>-54</v>
      </c>
      <c r="N1096" t="s">
        <v>55</v>
      </c>
    </row>
    <row r="1097" spans="1:14" x14ac:dyDescent="0.25">
      <c r="A1097" t="s">
        <v>502</v>
      </c>
      <c r="B1097">
        <v>2222</v>
      </c>
      <c r="C1097" s="1">
        <v>43075</v>
      </c>
      <c r="D1097" t="s">
        <v>556</v>
      </c>
      <c r="E1097" s="1">
        <v>43067</v>
      </c>
      <c r="F1097">
        <v>0</v>
      </c>
      <c r="G1097" s="1">
        <v>43075</v>
      </c>
      <c r="H1097" s="1">
        <v>43129</v>
      </c>
      <c r="I1097" t="s">
        <v>15</v>
      </c>
      <c r="J1097">
        <v>291.97000000000003</v>
      </c>
      <c r="K1097">
        <v>52.65</v>
      </c>
      <c r="L1097">
        <v>239.32</v>
      </c>
      <c r="M1097">
        <v>-54</v>
      </c>
      <c r="N1097" t="s">
        <v>55</v>
      </c>
    </row>
    <row r="1098" spans="1:14" x14ac:dyDescent="0.25">
      <c r="A1098" t="s">
        <v>502</v>
      </c>
      <c r="B1098">
        <v>2214</v>
      </c>
      <c r="C1098" s="1">
        <v>43075</v>
      </c>
      <c r="D1098" t="s">
        <v>556</v>
      </c>
      <c r="E1098" s="1">
        <v>43067</v>
      </c>
      <c r="F1098">
        <v>0</v>
      </c>
      <c r="G1098" s="1">
        <v>43075</v>
      </c>
      <c r="H1098" s="1">
        <v>43129</v>
      </c>
      <c r="I1098" t="s">
        <v>15</v>
      </c>
      <c r="J1098">
        <v>344.7</v>
      </c>
      <c r="K1098">
        <v>62.16</v>
      </c>
      <c r="L1098">
        <v>282.54000000000002</v>
      </c>
      <c r="M1098">
        <v>-54</v>
      </c>
      <c r="N1098" t="s">
        <v>55</v>
      </c>
    </row>
    <row r="1099" spans="1:14" x14ac:dyDescent="0.25">
      <c r="A1099" t="s">
        <v>502</v>
      </c>
      <c r="B1099">
        <v>2223</v>
      </c>
      <c r="C1099" s="1">
        <v>43075</v>
      </c>
      <c r="D1099" t="s">
        <v>555</v>
      </c>
      <c r="E1099" s="1">
        <v>43067</v>
      </c>
      <c r="F1099">
        <v>0</v>
      </c>
      <c r="G1099" s="1">
        <v>43075</v>
      </c>
      <c r="H1099" s="1">
        <v>43129</v>
      </c>
      <c r="I1099" t="s">
        <v>15</v>
      </c>
      <c r="J1099">
        <v>40.98</v>
      </c>
      <c r="K1099">
        <v>7.39</v>
      </c>
      <c r="L1099">
        <v>33.590000000000003</v>
      </c>
      <c r="M1099">
        <v>-54</v>
      </c>
      <c r="N1099" t="s">
        <v>55</v>
      </c>
    </row>
    <row r="1100" spans="1:14" x14ac:dyDescent="0.25">
      <c r="A1100" t="s">
        <v>502</v>
      </c>
      <c r="B1100">
        <v>2216</v>
      </c>
      <c r="C1100" s="1">
        <v>43075</v>
      </c>
      <c r="D1100" t="s">
        <v>556</v>
      </c>
      <c r="E1100" s="1">
        <v>43067</v>
      </c>
      <c r="F1100">
        <v>0</v>
      </c>
      <c r="G1100" s="1">
        <v>43075</v>
      </c>
      <c r="H1100" s="1">
        <v>43129</v>
      </c>
      <c r="I1100" t="s">
        <v>15</v>
      </c>
      <c r="J1100">
        <v>71</v>
      </c>
      <c r="K1100">
        <v>12.8</v>
      </c>
      <c r="L1100">
        <v>58.2</v>
      </c>
      <c r="M1100">
        <v>-54</v>
      </c>
      <c r="N1100" t="s">
        <v>55</v>
      </c>
    </row>
    <row r="1101" spans="1:14" x14ac:dyDescent="0.25">
      <c r="A1101" t="s">
        <v>502</v>
      </c>
      <c r="B1101">
        <v>2224</v>
      </c>
      <c r="C1101" s="1">
        <v>43075</v>
      </c>
      <c r="D1101" t="s">
        <v>556</v>
      </c>
      <c r="E1101" s="1">
        <v>43067</v>
      </c>
      <c r="F1101">
        <v>0</v>
      </c>
      <c r="G1101" s="1">
        <v>43075</v>
      </c>
      <c r="H1101" s="1">
        <v>43129</v>
      </c>
      <c r="I1101" t="s">
        <v>15</v>
      </c>
      <c r="J1101">
        <v>32.659999999999997</v>
      </c>
      <c r="K1101">
        <v>5.89</v>
      </c>
      <c r="L1101">
        <v>26.77</v>
      </c>
      <c r="M1101">
        <v>-54</v>
      </c>
      <c r="N1101" t="s">
        <v>55</v>
      </c>
    </row>
    <row r="1102" spans="1:14" x14ac:dyDescent="0.25">
      <c r="A1102" t="s">
        <v>502</v>
      </c>
      <c r="B1102">
        <v>2217</v>
      </c>
      <c r="C1102" s="1">
        <v>43075</v>
      </c>
      <c r="D1102" t="s">
        <v>556</v>
      </c>
      <c r="E1102" s="1">
        <v>43067</v>
      </c>
      <c r="F1102">
        <v>0</v>
      </c>
      <c r="G1102" s="1">
        <v>43075</v>
      </c>
      <c r="H1102" s="1">
        <v>43129</v>
      </c>
      <c r="I1102" t="s">
        <v>15</v>
      </c>
      <c r="J1102">
        <v>100</v>
      </c>
      <c r="K1102">
        <v>18.03</v>
      </c>
      <c r="L1102">
        <v>81.97</v>
      </c>
      <c r="M1102">
        <v>-54</v>
      </c>
      <c r="N1102" t="s">
        <v>55</v>
      </c>
    </row>
    <row r="1103" spans="1:14" x14ac:dyDescent="0.25">
      <c r="A1103" t="s">
        <v>502</v>
      </c>
      <c r="B1103">
        <v>2220</v>
      </c>
      <c r="C1103" s="1">
        <v>43075</v>
      </c>
      <c r="D1103" t="s">
        <v>556</v>
      </c>
      <c r="E1103" s="1">
        <v>43067</v>
      </c>
      <c r="F1103">
        <v>0</v>
      </c>
      <c r="G1103" s="1">
        <v>43075</v>
      </c>
      <c r="H1103" s="1">
        <v>43129</v>
      </c>
      <c r="I1103" t="s">
        <v>15</v>
      </c>
      <c r="J1103">
        <v>20.010000000000002</v>
      </c>
      <c r="K1103">
        <v>3.61</v>
      </c>
      <c r="L1103">
        <v>16.399999999999999</v>
      </c>
      <c r="M1103">
        <v>-54</v>
      </c>
      <c r="N1103" t="s">
        <v>55</v>
      </c>
    </row>
    <row r="1104" spans="1:14" x14ac:dyDescent="0.25">
      <c r="A1104" t="s">
        <v>502</v>
      </c>
      <c r="B1104">
        <v>2217</v>
      </c>
      <c r="C1104" s="1">
        <v>43075</v>
      </c>
      <c r="D1104" t="s">
        <v>556</v>
      </c>
      <c r="E1104" s="1">
        <v>43067</v>
      </c>
      <c r="F1104">
        <v>0</v>
      </c>
      <c r="G1104" s="1">
        <v>43075</v>
      </c>
      <c r="H1104" s="1">
        <v>43129</v>
      </c>
      <c r="I1104" t="s">
        <v>15</v>
      </c>
      <c r="J1104">
        <v>0.1</v>
      </c>
      <c r="K1104">
        <v>0.02</v>
      </c>
      <c r="L1104">
        <v>0.08</v>
      </c>
      <c r="M1104">
        <v>-54</v>
      </c>
      <c r="N1104" t="s">
        <v>55</v>
      </c>
    </row>
    <row r="1105" spans="1:14" x14ac:dyDescent="0.25">
      <c r="A1105" t="s">
        <v>502</v>
      </c>
      <c r="B1105">
        <v>2219</v>
      </c>
      <c r="C1105" s="1">
        <v>43075</v>
      </c>
      <c r="D1105" t="s">
        <v>556</v>
      </c>
      <c r="E1105" s="1">
        <v>43067</v>
      </c>
      <c r="F1105">
        <v>0</v>
      </c>
      <c r="G1105" s="1">
        <v>43075</v>
      </c>
      <c r="H1105" s="1">
        <v>43129</v>
      </c>
      <c r="I1105" t="s">
        <v>15</v>
      </c>
      <c r="J1105">
        <v>371.2</v>
      </c>
      <c r="K1105">
        <v>66.94</v>
      </c>
      <c r="L1105">
        <v>304.26</v>
      </c>
      <c r="M1105">
        <v>-54</v>
      </c>
      <c r="N1105" t="s">
        <v>55</v>
      </c>
    </row>
    <row r="1106" spans="1:14" x14ac:dyDescent="0.25">
      <c r="A1106" t="s">
        <v>502</v>
      </c>
      <c r="B1106">
        <v>2215</v>
      </c>
      <c r="C1106" s="1">
        <v>43075</v>
      </c>
      <c r="D1106" t="s">
        <v>555</v>
      </c>
      <c r="E1106" s="1">
        <v>43067</v>
      </c>
      <c r="F1106">
        <v>0</v>
      </c>
      <c r="G1106" s="1">
        <v>43075</v>
      </c>
      <c r="H1106" s="1">
        <v>43129</v>
      </c>
      <c r="I1106" t="s">
        <v>15</v>
      </c>
      <c r="J1106">
        <v>90.49</v>
      </c>
      <c r="K1106">
        <v>16.32</v>
      </c>
      <c r="L1106">
        <v>74.17</v>
      </c>
      <c r="M1106">
        <v>-54</v>
      </c>
      <c r="N1106" t="s">
        <v>55</v>
      </c>
    </row>
    <row r="1107" spans="1:14" x14ac:dyDescent="0.25">
      <c r="A1107" t="s">
        <v>542</v>
      </c>
      <c r="B1107">
        <v>2230</v>
      </c>
      <c r="C1107" s="1">
        <v>43075</v>
      </c>
      <c r="D1107" t="s">
        <v>557</v>
      </c>
      <c r="E1107" s="1">
        <v>43053</v>
      </c>
      <c r="F1107">
        <v>0</v>
      </c>
      <c r="G1107" s="1">
        <v>43075</v>
      </c>
      <c r="H1107" s="1">
        <v>43130</v>
      </c>
      <c r="I1107" t="s">
        <v>23</v>
      </c>
      <c r="J1107">
        <v>732</v>
      </c>
      <c r="K1107">
        <v>132</v>
      </c>
      <c r="L1107">
        <v>600</v>
      </c>
      <c r="M1107">
        <v>-55</v>
      </c>
      <c r="N1107" t="s">
        <v>101</v>
      </c>
    </row>
    <row r="1108" spans="1:14" x14ac:dyDescent="0.25">
      <c r="A1108" t="s">
        <v>126</v>
      </c>
      <c r="B1108">
        <v>2204</v>
      </c>
      <c r="C1108" s="1">
        <v>43075</v>
      </c>
      <c r="D1108" t="s">
        <v>558</v>
      </c>
      <c r="E1108" s="1">
        <v>43068</v>
      </c>
      <c r="F1108">
        <v>0</v>
      </c>
      <c r="G1108" s="1">
        <v>43075</v>
      </c>
      <c r="H1108" s="1">
        <v>43130</v>
      </c>
      <c r="I1108" t="s">
        <v>23</v>
      </c>
      <c r="J1108">
        <v>311</v>
      </c>
      <c r="K1108">
        <v>0</v>
      </c>
      <c r="L1108">
        <v>311</v>
      </c>
      <c r="M1108">
        <v>-55</v>
      </c>
      <c r="N1108" t="s">
        <v>20</v>
      </c>
    </row>
    <row r="1109" spans="1:14" x14ac:dyDescent="0.25">
      <c r="A1109" t="s">
        <v>559</v>
      </c>
      <c r="B1109">
        <v>2289</v>
      </c>
      <c r="C1109" s="1">
        <v>43081</v>
      </c>
      <c r="D1109" t="s">
        <v>544</v>
      </c>
      <c r="E1109" s="1">
        <v>43075</v>
      </c>
      <c r="F1109">
        <v>0</v>
      </c>
      <c r="G1109" s="1">
        <v>43081</v>
      </c>
      <c r="H1109" s="1">
        <v>43136</v>
      </c>
      <c r="I1109" t="s">
        <v>23</v>
      </c>
      <c r="J1109" s="2">
        <v>4784.93</v>
      </c>
      <c r="K1109">
        <v>862.86</v>
      </c>
      <c r="L1109" s="2">
        <v>3922.07</v>
      </c>
      <c r="M1109">
        <v>-55</v>
      </c>
      <c r="N1109" t="s">
        <v>101</v>
      </c>
    </row>
    <row r="1110" spans="1:14" x14ac:dyDescent="0.25">
      <c r="A1110" t="s">
        <v>130</v>
      </c>
      <c r="B1110">
        <v>765</v>
      </c>
      <c r="C1110" s="1">
        <v>42849</v>
      </c>
      <c r="D1110" t="s">
        <v>560</v>
      </c>
      <c r="E1110" s="1">
        <v>42837</v>
      </c>
      <c r="F1110">
        <v>0</v>
      </c>
      <c r="G1110" s="1">
        <v>42849</v>
      </c>
      <c r="H1110" s="1">
        <v>42904</v>
      </c>
      <c r="I1110" t="s">
        <v>23</v>
      </c>
      <c r="J1110" s="2">
        <v>1212.48</v>
      </c>
      <c r="K1110">
        <v>32.799999999999997</v>
      </c>
      <c r="L1110" s="2">
        <v>1179.68</v>
      </c>
      <c r="M1110">
        <v>-55</v>
      </c>
      <c r="N1110" t="s">
        <v>39</v>
      </c>
    </row>
    <row r="1111" spans="1:14" x14ac:dyDescent="0.25">
      <c r="A1111" t="s">
        <v>123</v>
      </c>
      <c r="B1111">
        <v>1216</v>
      </c>
      <c r="C1111" s="1">
        <v>42922</v>
      </c>
      <c r="D1111" t="s">
        <v>561</v>
      </c>
      <c r="E1111" s="1">
        <v>42913</v>
      </c>
      <c r="F1111">
        <v>0</v>
      </c>
      <c r="G1111" s="1">
        <v>42923</v>
      </c>
      <c r="H1111" s="1">
        <v>42978</v>
      </c>
      <c r="I1111" t="s">
        <v>15</v>
      </c>
      <c r="J1111" s="2">
        <v>2500</v>
      </c>
      <c r="K1111">
        <v>0</v>
      </c>
      <c r="L1111" s="2">
        <v>2500</v>
      </c>
      <c r="M1111">
        <v>-55</v>
      </c>
      <c r="N1111" t="s">
        <v>359</v>
      </c>
    </row>
    <row r="1112" spans="1:14" x14ac:dyDescent="0.25">
      <c r="A1112" t="s">
        <v>562</v>
      </c>
      <c r="B1112">
        <v>1184</v>
      </c>
      <c r="C1112" s="1">
        <v>42914</v>
      </c>
      <c r="D1112" t="str">
        <f>"1617017872"</f>
        <v>1617017872</v>
      </c>
      <c r="E1112" s="1">
        <v>42907</v>
      </c>
      <c r="F1112">
        <v>0</v>
      </c>
      <c r="G1112" s="1">
        <v>42914</v>
      </c>
      <c r="H1112" s="1">
        <v>42969</v>
      </c>
      <c r="I1112" t="s">
        <v>23</v>
      </c>
      <c r="J1112">
        <v>4.88</v>
      </c>
      <c r="K1112">
        <v>0.88</v>
      </c>
      <c r="L1112">
        <v>4</v>
      </c>
      <c r="M1112">
        <v>-55</v>
      </c>
      <c r="N1112" t="s">
        <v>136</v>
      </c>
    </row>
    <row r="1113" spans="1:14" x14ac:dyDescent="0.25">
      <c r="A1113" t="s">
        <v>562</v>
      </c>
      <c r="B1113">
        <v>1185</v>
      </c>
      <c r="C1113" s="1">
        <v>42914</v>
      </c>
      <c r="D1113" t="str">
        <f>"1617017870"</f>
        <v>1617017870</v>
      </c>
      <c r="E1113" s="1">
        <v>42907</v>
      </c>
      <c r="F1113">
        <v>0</v>
      </c>
      <c r="G1113" s="1">
        <v>42914</v>
      </c>
      <c r="H1113" s="1">
        <v>42969</v>
      </c>
      <c r="I1113" t="s">
        <v>23</v>
      </c>
      <c r="J1113">
        <v>274.83999999999997</v>
      </c>
      <c r="K1113">
        <v>49.56</v>
      </c>
      <c r="L1113">
        <v>225.28</v>
      </c>
      <c r="M1113">
        <v>-55</v>
      </c>
      <c r="N1113" t="s">
        <v>136</v>
      </c>
    </row>
    <row r="1114" spans="1:14" x14ac:dyDescent="0.25">
      <c r="A1114" t="s">
        <v>180</v>
      </c>
      <c r="B1114">
        <v>2002</v>
      </c>
      <c r="C1114" s="1">
        <v>43049</v>
      </c>
      <c r="D1114" t="str">
        <f>"242"</f>
        <v>242</v>
      </c>
      <c r="E1114" s="1">
        <v>43039</v>
      </c>
      <c r="F1114">
        <v>0</v>
      </c>
      <c r="G1114" s="1">
        <v>43049</v>
      </c>
      <c r="H1114" s="1">
        <v>43105</v>
      </c>
      <c r="I1114" t="s">
        <v>23</v>
      </c>
      <c r="J1114">
        <v>88</v>
      </c>
      <c r="K1114">
        <v>15.87</v>
      </c>
      <c r="L1114">
        <v>72.13</v>
      </c>
      <c r="M1114">
        <v>-56</v>
      </c>
      <c r="N1114" t="s">
        <v>66</v>
      </c>
    </row>
    <row r="1115" spans="1:14" x14ac:dyDescent="0.25">
      <c r="A1115" t="s">
        <v>180</v>
      </c>
      <c r="B1115">
        <v>2001</v>
      </c>
      <c r="C1115" s="1">
        <v>43049</v>
      </c>
      <c r="D1115" t="str">
        <f>"242"</f>
        <v>242</v>
      </c>
      <c r="E1115" s="1">
        <v>43039</v>
      </c>
      <c r="F1115">
        <v>0</v>
      </c>
      <c r="G1115" s="1">
        <v>43049</v>
      </c>
      <c r="H1115" s="1">
        <v>43105</v>
      </c>
      <c r="I1115" t="s">
        <v>23</v>
      </c>
      <c r="J1115">
        <v>100</v>
      </c>
      <c r="K1115">
        <v>18.03</v>
      </c>
      <c r="L1115">
        <v>81.97</v>
      </c>
      <c r="M1115">
        <v>-56</v>
      </c>
      <c r="N1115" t="s">
        <v>66</v>
      </c>
    </row>
    <row r="1116" spans="1:14" x14ac:dyDescent="0.25">
      <c r="A1116" t="s">
        <v>180</v>
      </c>
      <c r="B1116">
        <v>2003</v>
      </c>
      <c r="C1116" s="1">
        <v>43049</v>
      </c>
      <c r="D1116" t="str">
        <f>"242"</f>
        <v>242</v>
      </c>
      <c r="E1116" s="1">
        <v>43039</v>
      </c>
      <c r="F1116">
        <v>0</v>
      </c>
      <c r="G1116" s="1">
        <v>43049</v>
      </c>
      <c r="H1116" s="1">
        <v>43105</v>
      </c>
      <c r="I1116" t="s">
        <v>23</v>
      </c>
      <c r="J1116">
        <v>833</v>
      </c>
      <c r="K1116">
        <v>150.22</v>
      </c>
      <c r="L1116">
        <v>682.78</v>
      </c>
      <c r="M1116">
        <v>-56</v>
      </c>
      <c r="N1116" t="s">
        <v>66</v>
      </c>
    </row>
    <row r="1117" spans="1:14" x14ac:dyDescent="0.25">
      <c r="A1117" t="s">
        <v>180</v>
      </c>
      <c r="B1117">
        <v>2000</v>
      </c>
      <c r="C1117" s="1">
        <v>43049</v>
      </c>
      <c r="D1117" t="str">
        <f>"242"</f>
        <v>242</v>
      </c>
      <c r="E1117" s="1">
        <v>43039</v>
      </c>
      <c r="F1117">
        <v>0</v>
      </c>
      <c r="G1117" s="1">
        <v>43049</v>
      </c>
      <c r="H1117" s="1">
        <v>43105</v>
      </c>
      <c r="I1117" t="s">
        <v>23</v>
      </c>
      <c r="J1117">
        <v>629.82000000000005</v>
      </c>
      <c r="K1117">
        <v>113.57</v>
      </c>
      <c r="L1117">
        <v>516.25</v>
      </c>
      <c r="M1117">
        <v>-56</v>
      </c>
      <c r="N1117" t="s">
        <v>66</v>
      </c>
    </row>
    <row r="1118" spans="1:14" x14ac:dyDescent="0.25">
      <c r="A1118" t="s">
        <v>563</v>
      </c>
      <c r="B1118">
        <v>404</v>
      </c>
      <c r="C1118" s="1">
        <v>42802</v>
      </c>
      <c r="D1118" t="s">
        <v>564</v>
      </c>
      <c r="E1118" s="1">
        <v>42786</v>
      </c>
      <c r="F1118">
        <v>0</v>
      </c>
      <c r="G1118" s="1">
        <v>42804</v>
      </c>
      <c r="H1118" s="1">
        <v>42862</v>
      </c>
      <c r="I1118" t="s">
        <v>565</v>
      </c>
      <c r="J1118">
        <v>36</v>
      </c>
      <c r="K1118">
        <v>0</v>
      </c>
      <c r="L1118">
        <v>36</v>
      </c>
      <c r="M1118">
        <v>-58</v>
      </c>
      <c r="N1118" t="s">
        <v>291</v>
      </c>
    </row>
    <row r="1119" spans="1:14" x14ac:dyDescent="0.25">
      <c r="A1119" t="s">
        <v>566</v>
      </c>
      <c r="B1119">
        <v>244</v>
      </c>
      <c r="C1119" s="1">
        <v>42775</v>
      </c>
      <c r="D1119" t="s">
        <v>567</v>
      </c>
      <c r="E1119" s="1">
        <v>42737</v>
      </c>
      <c r="F1119">
        <v>0</v>
      </c>
      <c r="G1119" s="1">
        <v>42776</v>
      </c>
      <c r="H1119" s="1">
        <v>42835</v>
      </c>
      <c r="I1119" t="s">
        <v>565</v>
      </c>
      <c r="J1119">
        <v>10</v>
      </c>
      <c r="K1119">
        <v>0</v>
      </c>
      <c r="L1119">
        <v>10</v>
      </c>
      <c r="M1119">
        <v>-59</v>
      </c>
      <c r="N1119" t="s">
        <v>39</v>
      </c>
    </row>
    <row r="1120" spans="1:14" x14ac:dyDescent="0.25">
      <c r="A1120" t="s">
        <v>566</v>
      </c>
      <c r="B1120">
        <v>245</v>
      </c>
      <c r="C1120" s="1">
        <v>42775</v>
      </c>
      <c r="D1120" t="s">
        <v>567</v>
      </c>
      <c r="E1120" s="1">
        <v>42737</v>
      </c>
      <c r="F1120">
        <v>0</v>
      </c>
      <c r="G1120" s="1">
        <v>42776</v>
      </c>
      <c r="H1120" s="1">
        <v>42835</v>
      </c>
      <c r="I1120" t="s">
        <v>565</v>
      </c>
      <c r="J1120">
        <v>30</v>
      </c>
      <c r="K1120">
        <v>0</v>
      </c>
      <c r="L1120">
        <v>30</v>
      </c>
      <c r="M1120">
        <v>-59</v>
      </c>
      <c r="N1120" t="s">
        <v>39</v>
      </c>
    </row>
    <row r="1121" spans="1:14" x14ac:dyDescent="0.25">
      <c r="A1121" t="s">
        <v>568</v>
      </c>
      <c r="B1121">
        <v>1923</v>
      </c>
      <c r="C1121" s="1">
        <v>43033</v>
      </c>
      <c r="D1121" t="s">
        <v>569</v>
      </c>
      <c r="E1121" s="1">
        <v>43008</v>
      </c>
      <c r="F1121">
        <v>0</v>
      </c>
      <c r="G1121" s="1">
        <v>43034</v>
      </c>
      <c r="H1121" s="1">
        <v>43100</v>
      </c>
      <c r="I1121" t="s">
        <v>15</v>
      </c>
      <c r="J1121">
        <v>366</v>
      </c>
      <c r="K1121">
        <v>66</v>
      </c>
      <c r="L1121">
        <v>300</v>
      </c>
      <c r="M1121">
        <v>-66</v>
      </c>
      <c r="N1121" t="s">
        <v>89</v>
      </c>
    </row>
    <row r="1122" spans="1:14" x14ac:dyDescent="0.25">
      <c r="A1122" t="s">
        <v>570</v>
      </c>
      <c r="B1122">
        <v>1029</v>
      </c>
      <c r="C1122" s="1">
        <v>42895</v>
      </c>
      <c r="D1122" t="str">
        <f>"337"</f>
        <v>337</v>
      </c>
      <c r="E1122" s="1">
        <v>42866</v>
      </c>
      <c r="F1122">
        <v>0</v>
      </c>
      <c r="G1122" s="1">
        <v>42895</v>
      </c>
      <c r="H1122" s="1">
        <v>42978</v>
      </c>
      <c r="I1122" t="s">
        <v>15</v>
      </c>
      <c r="J1122">
        <v>296.7</v>
      </c>
      <c r="K1122">
        <v>0</v>
      </c>
      <c r="L1122">
        <v>296.7</v>
      </c>
      <c r="M1122">
        <v>-83</v>
      </c>
      <c r="N1122" t="s">
        <v>439</v>
      </c>
    </row>
    <row r="1123" spans="1:14" x14ac:dyDescent="0.25">
      <c r="A1123" t="s">
        <v>571</v>
      </c>
      <c r="B1123">
        <v>1448</v>
      </c>
      <c r="C1123" s="1">
        <v>42956</v>
      </c>
      <c r="D1123" t="s">
        <v>572</v>
      </c>
      <c r="E1123" s="1">
        <v>42926</v>
      </c>
      <c r="F1123">
        <v>0</v>
      </c>
      <c r="G1123" s="1">
        <v>42957</v>
      </c>
      <c r="H1123" s="1">
        <v>43049</v>
      </c>
      <c r="I1123" t="s">
        <v>15</v>
      </c>
      <c r="J1123" s="2">
        <v>6054.08</v>
      </c>
      <c r="K1123" s="2">
        <v>1091.72</v>
      </c>
      <c r="L1123" s="2">
        <v>4962.3599999999997</v>
      </c>
      <c r="M1123">
        <v>-92</v>
      </c>
      <c r="N1123" t="s">
        <v>573</v>
      </c>
    </row>
    <row r="1124" spans="1:14" x14ac:dyDescent="0.25">
      <c r="A1124" t="s">
        <v>571</v>
      </c>
      <c r="B1124">
        <v>1447</v>
      </c>
      <c r="C1124" s="1">
        <v>42956</v>
      </c>
      <c r="D1124" t="s">
        <v>574</v>
      </c>
      <c r="E1124" s="1">
        <v>42926</v>
      </c>
      <c r="F1124">
        <v>0</v>
      </c>
      <c r="G1124" s="1">
        <v>42957</v>
      </c>
      <c r="H1124" s="1">
        <v>43049</v>
      </c>
      <c r="I1124" t="s">
        <v>15</v>
      </c>
      <c r="J1124" s="2">
        <v>2351.5</v>
      </c>
      <c r="K1124">
        <v>424.04</v>
      </c>
      <c r="L1124" s="2">
        <v>1927.46</v>
      </c>
      <c r="M1124">
        <v>-92</v>
      </c>
      <c r="N1124" t="s">
        <v>573</v>
      </c>
    </row>
    <row r="1125" spans="1:14" x14ac:dyDescent="0.25">
      <c r="A1125" t="s">
        <v>571</v>
      </c>
      <c r="B1125">
        <v>1892</v>
      </c>
      <c r="C1125" s="1">
        <v>43033</v>
      </c>
      <c r="D1125" t="s">
        <v>575</v>
      </c>
      <c r="E1125" s="1">
        <v>43015</v>
      </c>
      <c r="F1125">
        <v>0</v>
      </c>
      <c r="G1125" s="1">
        <v>43034</v>
      </c>
      <c r="H1125" s="1">
        <v>43141</v>
      </c>
      <c r="I1125" t="s">
        <v>15</v>
      </c>
      <c r="J1125" s="2">
        <v>2833.72</v>
      </c>
      <c r="K1125">
        <v>511</v>
      </c>
      <c r="L1125" s="2">
        <v>2322.7199999999998</v>
      </c>
      <c r="M1125">
        <v>-107</v>
      </c>
      <c r="N1125" t="s">
        <v>573</v>
      </c>
    </row>
    <row r="1126" spans="1:14" x14ac:dyDescent="0.25">
      <c r="A1126" t="s">
        <v>571</v>
      </c>
      <c r="B1126">
        <v>1893</v>
      </c>
      <c r="C1126" s="1">
        <v>43033</v>
      </c>
      <c r="D1126" t="s">
        <v>576</v>
      </c>
      <c r="E1126" s="1">
        <v>43015</v>
      </c>
      <c r="F1126">
        <v>0</v>
      </c>
      <c r="G1126" s="1">
        <v>43034</v>
      </c>
      <c r="H1126" s="1">
        <v>43141</v>
      </c>
      <c r="I1126" t="s">
        <v>15</v>
      </c>
      <c r="J1126" s="2">
        <v>6054.08</v>
      </c>
      <c r="K1126" s="2">
        <v>1091.72</v>
      </c>
      <c r="L1126" s="2">
        <v>4962.3599999999997</v>
      </c>
      <c r="M1126">
        <v>-107</v>
      </c>
      <c r="N1126" t="s">
        <v>573</v>
      </c>
    </row>
    <row r="1127" spans="1:14" x14ac:dyDescent="0.25">
      <c r="A1127" t="s">
        <v>571</v>
      </c>
      <c r="B1127">
        <v>723</v>
      </c>
      <c r="C1127" s="1">
        <v>42845</v>
      </c>
      <c r="D1127" s="4">
        <v>43040</v>
      </c>
      <c r="E1127" s="1">
        <v>42825</v>
      </c>
      <c r="F1127">
        <v>0</v>
      </c>
      <c r="G1127" s="1">
        <v>42846</v>
      </c>
      <c r="H1127" s="1">
        <v>42957</v>
      </c>
      <c r="I1127" t="s">
        <v>15</v>
      </c>
      <c r="J1127" s="2">
        <v>4329.8999999999996</v>
      </c>
      <c r="K1127">
        <v>780.8</v>
      </c>
      <c r="L1127" s="2">
        <v>3549.1</v>
      </c>
      <c r="M1127">
        <v>-111</v>
      </c>
      <c r="N1127" t="s">
        <v>573</v>
      </c>
    </row>
    <row r="1128" spans="1:14" x14ac:dyDescent="0.25">
      <c r="A1128" t="s">
        <v>571</v>
      </c>
      <c r="B1128">
        <v>724</v>
      </c>
      <c r="C1128" s="1">
        <v>42845</v>
      </c>
      <c r="D1128" s="4">
        <v>43040</v>
      </c>
      <c r="E1128" s="1">
        <v>42825</v>
      </c>
      <c r="F1128">
        <v>0</v>
      </c>
      <c r="G1128" s="1">
        <v>42846</v>
      </c>
      <c r="H1128" s="1">
        <v>42957</v>
      </c>
      <c r="I1128" t="s">
        <v>15</v>
      </c>
      <c r="J1128" s="2">
        <v>5000</v>
      </c>
      <c r="K1128">
        <v>901.64</v>
      </c>
      <c r="L1128" s="2">
        <v>4098.3599999999997</v>
      </c>
      <c r="M1128">
        <v>-111</v>
      </c>
      <c r="N1128" t="s">
        <v>573</v>
      </c>
    </row>
    <row r="1129" spans="1:14" x14ac:dyDescent="0.25">
      <c r="A1129" t="s">
        <v>571</v>
      </c>
      <c r="B1129">
        <v>725</v>
      </c>
      <c r="C1129" s="1">
        <v>42845</v>
      </c>
      <c r="D1129" s="4">
        <v>43009</v>
      </c>
      <c r="E1129" s="1">
        <v>42825</v>
      </c>
      <c r="F1129">
        <v>0</v>
      </c>
      <c r="G1129" s="1">
        <v>42846</v>
      </c>
      <c r="H1129" s="1">
        <v>42957</v>
      </c>
      <c r="I1129" t="s">
        <v>15</v>
      </c>
      <c r="J1129" s="2">
        <v>6054.08</v>
      </c>
      <c r="K1129" s="2">
        <v>1091.72</v>
      </c>
      <c r="L1129" s="2">
        <v>4962.3599999999997</v>
      </c>
      <c r="M1129">
        <v>-111</v>
      </c>
      <c r="N1129" t="s">
        <v>573</v>
      </c>
    </row>
    <row r="1130" spans="1:14" s="6" customFormat="1" x14ac:dyDescent="0.25">
      <c r="A1130" s="6" t="s">
        <v>577</v>
      </c>
      <c r="B1130" s="6">
        <v>0</v>
      </c>
      <c r="D1130" s="6" t="s">
        <v>578</v>
      </c>
      <c r="F1130" s="6">
        <v>0</v>
      </c>
      <c r="J1130" s="8">
        <v>1364112.51</v>
      </c>
      <c r="K1130" s="8">
        <v>154006.73000000001</v>
      </c>
      <c r="L1130" s="8">
        <v>1210105.78</v>
      </c>
      <c r="M1130" s="6">
        <v>-14.29</v>
      </c>
      <c r="N1130" s="6" t="s">
        <v>579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L_RIT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Caldon</dc:creator>
  <cp:lastModifiedBy>Massimo Caldon</cp:lastModifiedBy>
  <dcterms:created xsi:type="dcterms:W3CDTF">2018-04-04T11:44:44Z</dcterms:created>
  <dcterms:modified xsi:type="dcterms:W3CDTF">2018-04-04T13:30:44Z</dcterms:modified>
</cp:coreProperties>
</file>